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2.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userName="Christopher Cusack" algorithmName="SHA-512" hashValue="iOsp7shZYlhfbRi3LY0Ge04DjUMXQy/8snknibt1JR+oSpVktYb6+UM2Ea9XDX0QXv/5989BkGJ0DTPYOyajzg==" saltValue="6poQnP9ebj4ShpQKI9iwAw==" spinCount="100000"/>
  <workbookPr defaultThemeVersion="153222"/>
  <mc:AlternateContent xmlns:mc="http://schemas.openxmlformats.org/markup-compatibility/2006">
    <mc:Choice Requires="x15">
      <x15ac:absPath xmlns:x15ac="http://schemas.microsoft.com/office/spreadsheetml/2010/11/ac" url="C:\Users\ccusack\Documents\EM\"/>
    </mc:Choice>
  </mc:AlternateContent>
  <bookViews>
    <workbookView xWindow="0" yWindow="0" windowWidth="17232" windowHeight="0" firstSheet="2" activeTab="2"/>
  </bookViews>
  <sheets>
    <sheet name="Introduction" sheetId="5" r:id="rId1"/>
    <sheet name="Instructions" sheetId="10" r:id="rId2"/>
    <sheet name="Cost Drivers" sheetId="9" r:id="rId3"/>
    <sheet name="Who Pays" sheetId="7" r:id="rId4"/>
    <sheet name="EM Costs" sheetId="8" r:id="rId5"/>
    <sheet name="ASO Costs" sheetId="11" r:id="rId6"/>
    <sheet name="Industry Costs" sheetId="12" r:id="rId7"/>
    <sheet name="Government Costs" sheetId="13" r:id="rId8"/>
    <sheet name="Total Costs" sheetId="6"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1" l="1"/>
  <c r="K61" i="9"/>
  <c r="C10" i="8"/>
  <c r="D34" i="13" l="1"/>
  <c r="C34" i="13"/>
  <c r="K29" i="13"/>
  <c r="D34" i="12"/>
  <c r="C34" i="12"/>
  <c r="K29" i="12"/>
  <c r="C3" i="11" l="1"/>
  <c r="J7" i="9"/>
  <c r="E39" i="9"/>
  <c r="C50" i="9" l="1"/>
  <c r="C49" i="9"/>
  <c r="C48" i="9"/>
  <c r="C47" i="9"/>
  <c r="C46" i="9"/>
  <c r="J6" i="9"/>
  <c r="H60" i="9"/>
  <c r="H59" i="9"/>
  <c r="H58" i="9"/>
  <c r="H57" i="9"/>
  <c r="H56" i="9"/>
  <c r="K29" i="6"/>
  <c r="C34" i="6"/>
  <c r="D34" i="6"/>
  <c r="N61" i="9" l="1"/>
  <c r="M61" i="9"/>
  <c r="L61" i="9"/>
  <c r="C39" i="9"/>
  <c r="G39" i="9"/>
  <c r="F39" i="9"/>
  <c r="D39" i="9"/>
  <c r="G36" i="9"/>
  <c r="F36" i="9"/>
  <c r="E36" i="9"/>
  <c r="D36" i="9"/>
  <c r="C36" i="9"/>
  <c r="I9" i="9"/>
  <c r="I8" i="9"/>
  <c r="I5" i="9"/>
  <c r="C4" i="8"/>
  <c r="C7" i="11"/>
  <c r="C4" i="11"/>
  <c r="I13" i="9"/>
  <c r="C13" i="8" l="1"/>
  <c r="C25" i="8"/>
  <c r="C23" i="8"/>
  <c r="D23" i="8" s="1"/>
  <c r="C24" i="8"/>
  <c r="C20" i="8"/>
  <c r="D20" i="8" s="1"/>
  <c r="C27" i="8"/>
  <c r="M63" i="9"/>
  <c r="M62" i="9"/>
  <c r="N64" i="9"/>
  <c r="N62" i="9"/>
  <c r="L66" i="9"/>
  <c r="L62" i="9"/>
  <c r="K66" i="9"/>
  <c r="K62" i="9"/>
  <c r="H36" i="9"/>
  <c r="H39" i="9"/>
  <c r="C17" i="8"/>
  <c r="L64" i="9"/>
  <c r="L63" i="9"/>
  <c r="L65" i="9"/>
  <c r="C57" i="9"/>
  <c r="I57" i="9" s="1"/>
  <c r="J57" i="9" s="1"/>
  <c r="C63" i="9"/>
  <c r="C62" i="9"/>
  <c r="C56" i="9"/>
  <c r="D52" i="9"/>
  <c r="K63" i="9"/>
  <c r="K65" i="9"/>
  <c r="K64" i="9"/>
  <c r="N63" i="9"/>
  <c r="N65" i="9"/>
  <c r="M64" i="9"/>
  <c r="M65" i="9"/>
  <c r="M66" i="9"/>
  <c r="N66" i="9"/>
  <c r="C15" i="8"/>
  <c r="C21" i="8"/>
  <c r="I10" i="9"/>
  <c r="C43" i="9"/>
  <c r="C44" i="9" s="1"/>
  <c r="C6" i="11" l="1"/>
  <c r="C22" i="11" s="1"/>
  <c r="C47" i="6" s="1"/>
  <c r="C65" i="9"/>
  <c r="C66" i="9"/>
  <c r="P63" i="9"/>
  <c r="Q63" i="9"/>
  <c r="R63" i="9"/>
  <c r="O63" i="9"/>
  <c r="P62" i="9"/>
  <c r="O62" i="9"/>
  <c r="Q62" i="9"/>
  <c r="R62" i="9"/>
  <c r="C13" i="12"/>
  <c r="D15" i="6"/>
  <c r="G15" i="6" s="1"/>
  <c r="D15" i="12"/>
  <c r="C17" i="12"/>
  <c r="C7" i="12"/>
  <c r="C19" i="12"/>
  <c r="C16" i="12"/>
  <c r="C5" i="13"/>
  <c r="C5" i="12"/>
  <c r="C12" i="6"/>
  <c r="C12" i="12"/>
  <c r="C9" i="13"/>
  <c r="C9" i="12"/>
  <c r="C15" i="6"/>
  <c r="C15" i="12"/>
  <c r="I42" i="9"/>
  <c r="C7" i="8" s="1"/>
  <c r="I56" i="9"/>
  <c r="J56" i="9" s="1"/>
  <c r="C58" i="9"/>
  <c r="I58" i="9" s="1"/>
  <c r="J58" i="9" s="1"/>
  <c r="C60" i="9"/>
  <c r="I60" i="9" s="1"/>
  <c r="J60" i="9" s="1"/>
  <c r="C64" i="9"/>
  <c r="C59" i="9"/>
  <c r="I59" i="9" s="1"/>
  <c r="J59" i="9" s="1"/>
  <c r="C13" i="6"/>
  <c r="D21" i="8"/>
  <c r="D24" i="8"/>
  <c r="C16" i="6"/>
  <c r="C9" i="6"/>
  <c r="D17" i="8"/>
  <c r="C17" i="6"/>
  <c r="D25" i="8"/>
  <c r="C7" i="6"/>
  <c r="D15" i="8"/>
  <c r="C19" i="6"/>
  <c r="D27" i="8"/>
  <c r="C5" i="6"/>
  <c r="D13" i="8"/>
  <c r="D54" i="9"/>
  <c r="D37" i="9" s="1"/>
  <c r="E24" i="7"/>
  <c r="E23" i="7"/>
  <c r="E22" i="7"/>
  <c r="E21" i="7"/>
  <c r="C19" i="13" s="1"/>
  <c r="E20" i="7"/>
  <c r="D15" i="13" s="1"/>
  <c r="E19" i="7"/>
  <c r="C13" i="13" s="1"/>
  <c r="E18" i="7"/>
  <c r="C7" i="13" s="1"/>
  <c r="E17" i="7"/>
  <c r="E12" i="7"/>
  <c r="E11" i="7"/>
  <c r="E10" i="7"/>
  <c r="E9" i="7"/>
  <c r="E8" i="7"/>
  <c r="E7" i="7"/>
  <c r="E6" i="7"/>
  <c r="E5" i="7"/>
  <c r="C5" i="11" l="1"/>
  <c r="C47" i="12"/>
  <c r="C24" i="11"/>
  <c r="C18" i="11"/>
  <c r="C43" i="13" s="1"/>
  <c r="C47" i="13"/>
  <c r="C13" i="11"/>
  <c r="R66" i="9"/>
  <c r="P66" i="9"/>
  <c r="O66" i="9"/>
  <c r="Q66" i="9"/>
  <c r="R64" i="9"/>
  <c r="O64" i="9"/>
  <c r="P64" i="9"/>
  <c r="Q64" i="9"/>
  <c r="R65" i="9"/>
  <c r="P65" i="9"/>
  <c r="O65" i="9"/>
  <c r="Q65" i="9"/>
  <c r="F15" i="6"/>
  <c r="C15" i="13"/>
  <c r="C17" i="13"/>
  <c r="C12" i="13"/>
  <c r="C16" i="13"/>
  <c r="I15" i="6"/>
  <c r="E15" i="6"/>
  <c r="H15" i="6"/>
  <c r="C38" i="13"/>
  <c r="C38" i="12"/>
  <c r="C49" i="12"/>
  <c r="C49" i="13"/>
  <c r="C43" i="12"/>
  <c r="D12" i="6"/>
  <c r="E12" i="6" s="1"/>
  <c r="K12" i="6" s="1"/>
  <c r="D12" i="12"/>
  <c r="E12" i="12" s="1"/>
  <c r="D12" i="13"/>
  <c r="E12" i="13" s="1"/>
  <c r="D7" i="6"/>
  <c r="E7" i="6" s="1"/>
  <c r="K7" i="6" s="1"/>
  <c r="D7" i="13"/>
  <c r="E7" i="13" s="1"/>
  <c r="D7" i="12"/>
  <c r="E7" i="12" s="1"/>
  <c r="D19" i="6"/>
  <c r="H19" i="6" s="1"/>
  <c r="D19" i="12"/>
  <c r="D19" i="13"/>
  <c r="D17" i="6"/>
  <c r="H17" i="6" s="1"/>
  <c r="D17" i="12"/>
  <c r="D17" i="13"/>
  <c r="F15" i="13"/>
  <c r="I15" i="13"/>
  <c r="E15" i="13"/>
  <c r="G15" i="13"/>
  <c r="H15" i="13"/>
  <c r="D16" i="6"/>
  <c r="G16" i="6" s="1"/>
  <c r="D16" i="12"/>
  <c r="D16" i="13"/>
  <c r="D5" i="6"/>
  <c r="I5" i="6" s="1"/>
  <c r="D5" i="12"/>
  <c r="D5" i="13"/>
  <c r="D13" i="6"/>
  <c r="E13" i="6" s="1"/>
  <c r="K13" i="6" s="1"/>
  <c r="D13" i="13"/>
  <c r="E13" i="13" s="1"/>
  <c r="D13" i="12"/>
  <c r="E13" i="12" s="1"/>
  <c r="D9" i="6"/>
  <c r="E9" i="6" s="1"/>
  <c r="J9" i="6" s="1"/>
  <c r="D9" i="13"/>
  <c r="E9" i="13" s="1"/>
  <c r="D9" i="12"/>
  <c r="E9" i="12" s="1"/>
  <c r="I15" i="12"/>
  <c r="F15" i="12"/>
  <c r="G15" i="12"/>
  <c r="H15" i="12"/>
  <c r="E15" i="12"/>
  <c r="C20" i="11"/>
  <c r="C11" i="11"/>
  <c r="C16" i="11"/>
  <c r="C14" i="11"/>
  <c r="I43" i="9"/>
  <c r="C9" i="8" s="1"/>
  <c r="C38" i="8" s="1"/>
  <c r="D22" i="11"/>
  <c r="C67" i="9"/>
  <c r="S62" i="9"/>
  <c r="T62" i="9" s="1"/>
  <c r="K56" i="9"/>
  <c r="C32" i="8" s="1"/>
  <c r="C61" i="9"/>
  <c r="D24" i="11"/>
  <c r="C49" i="6"/>
  <c r="C43" i="6"/>
  <c r="D13" i="11"/>
  <c r="C38" i="6"/>
  <c r="S63" i="9"/>
  <c r="T63" i="9" s="1"/>
  <c r="G40" i="9"/>
  <c r="C5" i="8"/>
  <c r="C19" i="8" s="1"/>
  <c r="D57" i="9"/>
  <c r="E57" i="9" s="1"/>
  <c r="D63" i="9"/>
  <c r="E63" i="9" s="1"/>
  <c r="D65" i="9"/>
  <c r="E65" i="9" s="1"/>
  <c r="D62" i="9"/>
  <c r="E62" i="9" s="1"/>
  <c r="C40" i="9"/>
  <c r="G37" i="9"/>
  <c r="D59" i="9"/>
  <c r="E59" i="9" s="1"/>
  <c r="C37" i="9"/>
  <c r="E37" i="9"/>
  <c r="D60" i="9"/>
  <c r="E60" i="9" s="1"/>
  <c r="D58" i="9"/>
  <c r="E58" i="9" s="1"/>
  <c r="D66" i="9"/>
  <c r="E66" i="9" s="1"/>
  <c r="E40" i="9"/>
  <c r="F37" i="9"/>
  <c r="F40" i="9"/>
  <c r="D40" i="9"/>
  <c r="D56" i="9"/>
  <c r="E56" i="9" s="1"/>
  <c r="D64" i="9"/>
  <c r="E64" i="9" s="1"/>
  <c r="D18" i="11" l="1"/>
  <c r="F17" i="6"/>
  <c r="R67" i="9"/>
  <c r="J7" i="6"/>
  <c r="J13" i="6"/>
  <c r="I16" i="6"/>
  <c r="J12" i="6"/>
  <c r="F19" i="6"/>
  <c r="G19" i="6"/>
  <c r="K9" i="6"/>
  <c r="K15" i="6"/>
  <c r="E19" i="6"/>
  <c r="S66" i="9"/>
  <c r="T66" i="9" s="1"/>
  <c r="J15" i="6"/>
  <c r="E5" i="6"/>
  <c r="F5" i="6"/>
  <c r="I19" i="6"/>
  <c r="F16" i="6"/>
  <c r="I17" i="6"/>
  <c r="K15" i="13"/>
  <c r="G5" i="6"/>
  <c r="E16" i="6"/>
  <c r="H16" i="6"/>
  <c r="E17" i="6"/>
  <c r="H5" i="6"/>
  <c r="G17" i="6"/>
  <c r="J15" i="13"/>
  <c r="C45" i="12"/>
  <c r="C45" i="13"/>
  <c r="D43" i="6"/>
  <c r="G43" i="6" s="1"/>
  <c r="D43" i="12"/>
  <c r="D43" i="13"/>
  <c r="C36" i="13"/>
  <c r="C36" i="12"/>
  <c r="D38" i="6"/>
  <c r="E38" i="6" s="1"/>
  <c r="D38" i="12"/>
  <c r="D38" i="13"/>
  <c r="D49" i="6"/>
  <c r="I49" i="6" s="1"/>
  <c r="D49" i="12"/>
  <c r="D49" i="13"/>
  <c r="D14" i="11"/>
  <c r="C39" i="12"/>
  <c r="C39" i="13"/>
  <c r="D47" i="6"/>
  <c r="E47" i="6" s="1"/>
  <c r="D47" i="12"/>
  <c r="D47" i="13"/>
  <c r="C41" i="13"/>
  <c r="C41" i="12"/>
  <c r="C24" i="6"/>
  <c r="C24" i="13"/>
  <c r="C24" i="12"/>
  <c r="C30" i="13"/>
  <c r="C30" i="12"/>
  <c r="K9" i="13"/>
  <c r="J9" i="13"/>
  <c r="G16" i="13"/>
  <c r="F16" i="13"/>
  <c r="I16" i="13"/>
  <c r="E16" i="13"/>
  <c r="H16" i="13"/>
  <c r="H17" i="13"/>
  <c r="I17" i="13"/>
  <c r="E17" i="13"/>
  <c r="G17" i="13"/>
  <c r="F17" i="13"/>
  <c r="I19" i="12"/>
  <c r="F19" i="12"/>
  <c r="G19" i="12"/>
  <c r="E19" i="12"/>
  <c r="H19" i="12"/>
  <c r="C11" i="12"/>
  <c r="C11" i="13"/>
  <c r="I5" i="13"/>
  <c r="F5" i="13"/>
  <c r="G5" i="13"/>
  <c r="E5" i="13"/>
  <c r="H5" i="13"/>
  <c r="G16" i="12"/>
  <c r="I16" i="12"/>
  <c r="F16" i="12"/>
  <c r="E16" i="12"/>
  <c r="H16" i="12"/>
  <c r="G17" i="12"/>
  <c r="I17" i="12"/>
  <c r="H17" i="12"/>
  <c r="E17" i="12"/>
  <c r="F17" i="12"/>
  <c r="J12" i="13"/>
  <c r="K12" i="13"/>
  <c r="K15" i="12"/>
  <c r="J15" i="12"/>
  <c r="K13" i="12"/>
  <c r="J13" i="12"/>
  <c r="H5" i="12"/>
  <c r="E5" i="12"/>
  <c r="I5" i="12"/>
  <c r="G5" i="12"/>
  <c r="F5" i="12"/>
  <c r="K7" i="12"/>
  <c r="J7" i="12"/>
  <c r="J12" i="12"/>
  <c r="K12" i="12"/>
  <c r="J9" i="12"/>
  <c r="K9" i="12"/>
  <c r="K13" i="13"/>
  <c r="J13" i="13"/>
  <c r="G19" i="13"/>
  <c r="E19" i="13"/>
  <c r="I19" i="13"/>
  <c r="F19" i="13"/>
  <c r="H19" i="13"/>
  <c r="J7" i="13"/>
  <c r="K7" i="13"/>
  <c r="Q67" i="9"/>
  <c r="C35" i="8" s="1"/>
  <c r="O67" i="9"/>
  <c r="C33" i="8" s="1"/>
  <c r="S65" i="9"/>
  <c r="T65" i="9" s="1"/>
  <c r="C39" i="6"/>
  <c r="P67" i="9"/>
  <c r="C34" i="8" s="1"/>
  <c r="D32" i="8"/>
  <c r="H40" i="9"/>
  <c r="H37" i="9"/>
  <c r="E67" i="9"/>
  <c r="S64" i="9"/>
  <c r="T64" i="9" s="1"/>
  <c r="C26" i="11"/>
  <c r="C41" i="6"/>
  <c r="D16" i="11"/>
  <c r="C45" i="6"/>
  <c r="D20" i="11"/>
  <c r="C36" i="6"/>
  <c r="D11" i="11"/>
  <c r="C16" i="8"/>
  <c r="E61" i="9"/>
  <c r="C11" i="6"/>
  <c r="D19" i="8"/>
  <c r="C36" i="8" l="1"/>
  <c r="C28" i="12" s="1"/>
  <c r="J19" i="6"/>
  <c r="I43" i="6"/>
  <c r="J5" i="6"/>
  <c r="I47" i="6"/>
  <c r="K5" i="6"/>
  <c r="K19" i="6"/>
  <c r="J16" i="6"/>
  <c r="K16" i="6"/>
  <c r="J17" i="6"/>
  <c r="E49" i="6"/>
  <c r="K17" i="6"/>
  <c r="H47" i="6"/>
  <c r="G47" i="6"/>
  <c r="F43" i="6"/>
  <c r="H49" i="6"/>
  <c r="F47" i="6"/>
  <c r="H38" i="6"/>
  <c r="H43" i="6"/>
  <c r="F49" i="6"/>
  <c r="G49" i="6"/>
  <c r="E43" i="6"/>
  <c r="G38" i="6"/>
  <c r="D41" i="6"/>
  <c r="I41" i="6" s="1"/>
  <c r="D41" i="13"/>
  <c r="D41" i="12"/>
  <c r="H47" i="13"/>
  <c r="G47" i="13"/>
  <c r="F47" i="13"/>
  <c r="I47" i="13"/>
  <c r="E47" i="13"/>
  <c r="D36" i="12"/>
  <c r="D36" i="13"/>
  <c r="H43" i="12"/>
  <c r="G43" i="12"/>
  <c r="E43" i="12"/>
  <c r="I43" i="12"/>
  <c r="F43" i="12"/>
  <c r="F38" i="6"/>
  <c r="I38" i="6"/>
  <c r="H47" i="12"/>
  <c r="E47" i="12"/>
  <c r="F47" i="12"/>
  <c r="I47" i="12"/>
  <c r="G47" i="12"/>
  <c r="D39" i="6"/>
  <c r="D39" i="13"/>
  <c r="D39" i="12"/>
  <c r="G38" i="13"/>
  <c r="H38" i="13"/>
  <c r="F38" i="13"/>
  <c r="E38" i="13"/>
  <c r="I38" i="13"/>
  <c r="I49" i="12"/>
  <c r="G49" i="12"/>
  <c r="E49" i="12"/>
  <c r="F49" i="12"/>
  <c r="H49" i="12"/>
  <c r="D45" i="6"/>
  <c r="G45" i="6" s="1"/>
  <c r="D45" i="12"/>
  <c r="D45" i="13"/>
  <c r="I49" i="13"/>
  <c r="F49" i="13"/>
  <c r="G49" i="13"/>
  <c r="H49" i="13"/>
  <c r="E49" i="13"/>
  <c r="G38" i="12"/>
  <c r="E38" i="12"/>
  <c r="H38" i="12"/>
  <c r="I38" i="12"/>
  <c r="F38" i="12"/>
  <c r="F43" i="13"/>
  <c r="I43" i="13"/>
  <c r="G43" i="13"/>
  <c r="E43" i="13"/>
  <c r="H43" i="13"/>
  <c r="C8" i="6"/>
  <c r="C8" i="13"/>
  <c r="C8" i="12"/>
  <c r="J5" i="12"/>
  <c r="J5" i="13"/>
  <c r="K5" i="13"/>
  <c r="K19" i="13"/>
  <c r="J19" i="13"/>
  <c r="J17" i="13"/>
  <c r="K17" i="13"/>
  <c r="K16" i="13"/>
  <c r="J16" i="13"/>
  <c r="D11" i="6"/>
  <c r="E11" i="6" s="1"/>
  <c r="J11" i="6" s="1"/>
  <c r="D11" i="13"/>
  <c r="E11" i="13" s="1"/>
  <c r="D11" i="12"/>
  <c r="E11" i="12" s="1"/>
  <c r="D24" i="6"/>
  <c r="G24" i="6" s="1"/>
  <c r="D24" i="12"/>
  <c r="D24" i="13"/>
  <c r="C25" i="6"/>
  <c r="C25" i="12"/>
  <c r="C25" i="13"/>
  <c r="K5" i="12"/>
  <c r="J17" i="12"/>
  <c r="K17" i="12"/>
  <c r="C26" i="13"/>
  <c r="C26" i="12"/>
  <c r="D35" i="8"/>
  <c r="C27" i="13"/>
  <c r="C27" i="12"/>
  <c r="K16" i="12"/>
  <c r="J16" i="12"/>
  <c r="K19" i="12"/>
  <c r="J19" i="12"/>
  <c r="D33" i="8"/>
  <c r="C27" i="6"/>
  <c r="U62" i="9"/>
  <c r="V62" i="9" s="1"/>
  <c r="C6" i="8" s="1"/>
  <c r="C29" i="8" s="1"/>
  <c r="S67" i="9"/>
  <c r="T67" i="9"/>
  <c r="C26" i="6"/>
  <c r="D34" i="8"/>
  <c r="D16" i="8"/>
  <c r="D36" i="6"/>
  <c r="D26" i="11"/>
  <c r="E69" i="9"/>
  <c r="C30" i="6" s="1"/>
  <c r="C28" i="6" l="1"/>
  <c r="D36" i="8"/>
  <c r="D28" i="6" s="1"/>
  <c r="H28" i="6" s="1"/>
  <c r="C28" i="13"/>
  <c r="K43" i="6"/>
  <c r="I45" i="6"/>
  <c r="J47" i="6"/>
  <c r="J49" i="6"/>
  <c r="K47" i="6"/>
  <c r="F45" i="6"/>
  <c r="J43" i="6"/>
  <c r="K11" i="6"/>
  <c r="E41" i="6"/>
  <c r="H45" i="6"/>
  <c r="H41" i="6"/>
  <c r="E24" i="6"/>
  <c r="F24" i="6"/>
  <c r="I24" i="6"/>
  <c r="H24" i="6"/>
  <c r="J38" i="6"/>
  <c r="K38" i="6"/>
  <c r="K49" i="6"/>
  <c r="F41" i="6"/>
  <c r="G41" i="6"/>
  <c r="E45" i="6"/>
  <c r="K49" i="13"/>
  <c r="J49" i="13"/>
  <c r="G45" i="13"/>
  <c r="H45" i="13"/>
  <c r="I45" i="13"/>
  <c r="E45" i="13"/>
  <c r="F45" i="13"/>
  <c r="F36" i="13"/>
  <c r="I36" i="13"/>
  <c r="G36" i="13"/>
  <c r="E36" i="13"/>
  <c r="H36" i="13"/>
  <c r="I41" i="13"/>
  <c r="F41" i="13"/>
  <c r="G41" i="13"/>
  <c r="E41" i="13"/>
  <c r="H41" i="13"/>
  <c r="K47" i="12"/>
  <c r="J47" i="12"/>
  <c r="E41" i="12"/>
  <c r="G41" i="12"/>
  <c r="F41" i="12"/>
  <c r="H41" i="12"/>
  <c r="I41" i="12"/>
  <c r="K38" i="12"/>
  <c r="J38" i="12"/>
  <c r="G45" i="12"/>
  <c r="I45" i="12"/>
  <c r="H45" i="12"/>
  <c r="E45" i="12"/>
  <c r="F45" i="12"/>
  <c r="J49" i="12"/>
  <c r="K49" i="12"/>
  <c r="K38" i="13"/>
  <c r="J38" i="13"/>
  <c r="E39" i="12"/>
  <c r="G39" i="12"/>
  <c r="F39" i="12"/>
  <c r="H39" i="12"/>
  <c r="I39" i="12"/>
  <c r="K43" i="12"/>
  <c r="J43" i="12"/>
  <c r="F36" i="12"/>
  <c r="G36" i="12"/>
  <c r="E36" i="12"/>
  <c r="H36" i="12"/>
  <c r="I36" i="12"/>
  <c r="I39" i="6"/>
  <c r="G39" i="6"/>
  <c r="F39" i="6"/>
  <c r="H39" i="6"/>
  <c r="E39" i="6"/>
  <c r="J43" i="13"/>
  <c r="K43" i="13"/>
  <c r="H39" i="13"/>
  <c r="I39" i="13"/>
  <c r="G39" i="13"/>
  <c r="E39" i="13"/>
  <c r="F39" i="13"/>
  <c r="J47" i="13"/>
  <c r="K47" i="13"/>
  <c r="D27" i="6"/>
  <c r="D27" i="13"/>
  <c r="D27" i="12"/>
  <c r="D8" i="6"/>
  <c r="E8" i="6" s="1"/>
  <c r="K8" i="6" s="1"/>
  <c r="D8" i="12"/>
  <c r="E8" i="12" s="1"/>
  <c r="D8" i="13"/>
  <c r="E8" i="13" s="1"/>
  <c r="D25" i="6"/>
  <c r="E25" i="6" s="1"/>
  <c r="D25" i="12"/>
  <c r="D25" i="13"/>
  <c r="I24" i="12"/>
  <c r="F24" i="12"/>
  <c r="G24" i="12"/>
  <c r="H24" i="12"/>
  <c r="E24" i="12"/>
  <c r="D29" i="8"/>
  <c r="C21" i="13"/>
  <c r="C21" i="12"/>
  <c r="D26" i="6"/>
  <c r="E26" i="6" s="1"/>
  <c r="D26" i="13"/>
  <c r="D26" i="12"/>
  <c r="K11" i="12"/>
  <c r="J11" i="12"/>
  <c r="F24" i="13"/>
  <c r="H24" i="13"/>
  <c r="E24" i="13"/>
  <c r="I24" i="13"/>
  <c r="G24" i="13"/>
  <c r="K11" i="13"/>
  <c r="J11" i="13"/>
  <c r="C8" i="8"/>
  <c r="C30" i="8"/>
  <c r="C31" i="8"/>
  <c r="C21" i="6"/>
  <c r="G36" i="6"/>
  <c r="H36" i="6"/>
  <c r="I36" i="6"/>
  <c r="F36" i="6"/>
  <c r="E36" i="6"/>
  <c r="D38" i="8"/>
  <c r="I30" i="6" l="1"/>
  <c r="E30" i="6"/>
  <c r="G30" i="6"/>
  <c r="F30" i="6"/>
  <c r="D30" i="6"/>
  <c r="H30" i="6"/>
  <c r="I28" i="6"/>
  <c r="G28" i="6"/>
  <c r="E28" i="6"/>
  <c r="D28" i="13"/>
  <c r="G28" i="13" s="1"/>
  <c r="F28" i="6"/>
  <c r="D28" i="12"/>
  <c r="E28" i="12" s="1"/>
  <c r="F26" i="6"/>
  <c r="K45" i="6"/>
  <c r="I26" i="6"/>
  <c r="H25" i="6"/>
  <c r="J41" i="6"/>
  <c r="K24" i="6"/>
  <c r="G26" i="6"/>
  <c r="I25" i="6"/>
  <c r="H26" i="6"/>
  <c r="J24" i="6"/>
  <c r="J45" i="6"/>
  <c r="J8" i="6"/>
  <c r="K41" i="6"/>
  <c r="J39" i="6"/>
  <c r="K39" i="6"/>
  <c r="J39" i="12"/>
  <c r="K39" i="12"/>
  <c r="K41" i="12"/>
  <c r="J41" i="12"/>
  <c r="K41" i="13"/>
  <c r="J41" i="13"/>
  <c r="K36" i="13"/>
  <c r="J36" i="13"/>
  <c r="J39" i="13"/>
  <c r="K39" i="13"/>
  <c r="K45" i="12"/>
  <c r="J45" i="12"/>
  <c r="K45" i="13"/>
  <c r="J45" i="13"/>
  <c r="J36" i="12"/>
  <c r="K36" i="12"/>
  <c r="D30" i="13"/>
  <c r="D30" i="12"/>
  <c r="I25" i="12"/>
  <c r="F25" i="12"/>
  <c r="H25" i="12"/>
  <c r="E25" i="12"/>
  <c r="G25" i="12"/>
  <c r="F25" i="6"/>
  <c r="G25" i="6"/>
  <c r="I27" i="12"/>
  <c r="G27" i="12"/>
  <c r="F27" i="12"/>
  <c r="H27" i="12"/>
  <c r="E27" i="12"/>
  <c r="I26" i="12"/>
  <c r="F26" i="12"/>
  <c r="H26" i="12"/>
  <c r="E26" i="12"/>
  <c r="G26" i="12"/>
  <c r="K24" i="12"/>
  <c r="J24" i="12"/>
  <c r="J8" i="13"/>
  <c r="K8" i="13"/>
  <c r="I27" i="13"/>
  <c r="G27" i="13"/>
  <c r="F27" i="13"/>
  <c r="E27" i="13"/>
  <c r="H27" i="13"/>
  <c r="C23" i="6"/>
  <c r="C23" i="13"/>
  <c r="C23" i="12"/>
  <c r="C22" i="6"/>
  <c r="C22" i="13"/>
  <c r="C22" i="12"/>
  <c r="K24" i="13"/>
  <c r="J24" i="13"/>
  <c r="G26" i="13"/>
  <c r="F26" i="13"/>
  <c r="I26" i="13"/>
  <c r="E26" i="13"/>
  <c r="H26" i="13"/>
  <c r="D21" i="6"/>
  <c r="D21" i="13"/>
  <c r="D21" i="12"/>
  <c r="F25" i="13"/>
  <c r="G25" i="13"/>
  <c r="E25" i="13"/>
  <c r="H25" i="13"/>
  <c r="I25" i="13"/>
  <c r="K8" i="12"/>
  <c r="J8" i="12"/>
  <c r="G27" i="6"/>
  <c r="F27" i="6"/>
  <c r="E27" i="6"/>
  <c r="H27" i="6"/>
  <c r="I27" i="6"/>
  <c r="D30" i="8"/>
  <c r="D31" i="8"/>
  <c r="K36" i="6"/>
  <c r="J36" i="6"/>
  <c r="J30" i="6" l="1"/>
  <c r="K50" i="6"/>
  <c r="I28" i="13"/>
  <c r="K28" i="6"/>
  <c r="F28" i="13"/>
  <c r="J28" i="6"/>
  <c r="H28" i="13"/>
  <c r="E28" i="13"/>
  <c r="F28" i="12"/>
  <c r="H28" i="12"/>
  <c r="I28" i="12"/>
  <c r="G28" i="12"/>
  <c r="J26" i="6"/>
  <c r="J25" i="6"/>
  <c r="K26" i="6"/>
  <c r="K30" i="6"/>
  <c r="K25" i="6"/>
  <c r="K25" i="13"/>
  <c r="J50" i="6"/>
  <c r="J50" i="12"/>
  <c r="K50" i="12"/>
  <c r="J50" i="13"/>
  <c r="K50" i="13"/>
  <c r="D22" i="6"/>
  <c r="E22" i="6" s="1"/>
  <c r="D22" i="13"/>
  <c r="D22" i="12"/>
  <c r="J25" i="13"/>
  <c r="J27" i="6"/>
  <c r="K27" i="6"/>
  <c r="I21" i="12"/>
  <c r="E21" i="12"/>
  <c r="G21" i="12"/>
  <c r="H21" i="12"/>
  <c r="F21" i="12"/>
  <c r="J26" i="13"/>
  <c r="K26" i="13"/>
  <c r="I30" i="12"/>
  <c r="G30" i="12"/>
  <c r="H30" i="12"/>
  <c r="F30" i="12"/>
  <c r="E30" i="12"/>
  <c r="H21" i="13"/>
  <c r="E21" i="13"/>
  <c r="G21" i="13"/>
  <c r="F21" i="13"/>
  <c r="I21" i="13"/>
  <c r="J27" i="13"/>
  <c r="K27" i="13"/>
  <c r="I30" i="13"/>
  <c r="F30" i="13"/>
  <c r="G30" i="13"/>
  <c r="E30" i="13"/>
  <c r="H30" i="13"/>
  <c r="D23" i="6"/>
  <c r="E23" i="6" s="1"/>
  <c r="D23" i="13"/>
  <c r="D23" i="12"/>
  <c r="H21" i="6"/>
  <c r="G21" i="6"/>
  <c r="I21" i="6"/>
  <c r="E21" i="6"/>
  <c r="F21" i="6"/>
  <c r="K26" i="12"/>
  <c r="J26" i="12"/>
  <c r="J27" i="12"/>
  <c r="K27" i="12"/>
  <c r="K25" i="12"/>
  <c r="J25" i="12"/>
  <c r="J28" i="13" l="1"/>
  <c r="K28" i="13"/>
  <c r="J28" i="12"/>
  <c r="K28" i="12"/>
  <c r="I22" i="6"/>
  <c r="I23" i="6"/>
  <c r="F23" i="6"/>
  <c r="G23" i="6"/>
  <c r="H23" i="6"/>
  <c r="J21" i="6"/>
  <c r="K21" i="6"/>
  <c r="I23" i="12"/>
  <c r="F23" i="12"/>
  <c r="H23" i="12"/>
  <c r="E23" i="12"/>
  <c r="G23" i="12"/>
  <c r="K30" i="13"/>
  <c r="J30" i="13"/>
  <c r="J30" i="12"/>
  <c r="K30" i="12"/>
  <c r="I23" i="13"/>
  <c r="G23" i="13"/>
  <c r="E23" i="13"/>
  <c r="F23" i="13"/>
  <c r="H23" i="13"/>
  <c r="I22" i="12"/>
  <c r="E22" i="12"/>
  <c r="G22" i="12"/>
  <c r="F22" i="12"/>
  <c r="H22" i="12"/>
  <c r="J21" i="13"/>
  <c r="K21" i="13"/>
  <c r="K21" i="12"/>
  <c r="J21" i="12"/>
  <c r="G22" i="13"/>
  <c r="F22" i="13"/>
  <c r="I22" i="13"/>
  <c r="E22" i="13"/>
  <c r="H22" i="13"/>
  <c r="H22" i="6"/>
  <c r="G22" i="6"/>
  <c r="F22" i="6"/>
  <c r="J23" i="6" l="1"/>
  <c r="K23" i="6"/>
  <c r="J22" i="6"/>
  <c r="K22" i="6"/>
  <c r="J22" i="13"/>
  <c r="K22" i="13"/>
  <c r="K22" i="12"/>
  <c r="J22" i="12"/>
  <c r="K23" i="13"/>
  <c r="J23" i="13"/>
  <c r="J23" i="12"/>
  <c r="K23" i="12"/>
  <c r="K31" i="6" l="1"/>
  <c r="J31" i="6"/>
  <c r="J31" i="13"/>
  <c r="K31" i="13"/>
  <c r="J31" i="12"/>
  <c r="K31" i="12"/>
</calcChain>
</file>

<file path=xl/sharedStrings.xml><?xml version="1.0" encoding="utf-8"?>
<sst xmlns="http://schemas.openxmlformats.org/spreadsheetml/2006/main" count="468" uniqueCount="242">
  <si>
    <t>Cost Comparison</t>
  </si>
  <si>
    <t>Instructions</t>
  </si>
  <si>
    <t>Fishery Characteristics</t>
  </si>
  <si>
    <t>Program Standards</t>
  </si>
  <si>
    <t>Who Pays</t>
  </si>
  <si>
    <t>EM COST CALCULATOR TOOL</t>
  </si>
  <si>
    <t>Background</t>
  </si>
  <si>
    <t>Intended Audience</t>
  </si>
  <si>
    <t>When to Use This Tool</t>
  </si>
  <si>
    <t>Limitations</t>
  </si>
  <si>
    <t xml:space="preserve">The EM Cost Calculator Tool is designed to help calculate the costs involved in implementing an Electronic Monitoring (EM) system for a wide range of fisheries in the United States. The costs of implementing an At-Sea Observer (ASO) based system are also calculated for comparison purposes. Cost estimates are based on current (2017) data collected through interviews with EM and ASO providers, as well as estimates found in the literature. While the tool attempts to provide an accurate estimate of the costs of both monitoring systems the focus is on costs that are likely to differ between the two systems. As a result, not all costs are included in the estimates. For example, infrastructure costs of program management (such as building maintenance, etc.) are likely to be similar for both systems and are therefore not included. </t>
  </si>
  <si>
    <t>The intended audience for this tool is fishery managers, fishermen and their organizations, and NGOs that are interested in exploring how the costs of implementing EM may compare to those of implementing an ASO-based system. The users should be familiar with fishery characteristics- number of boats, gear types, number and length of trips, number of hauls etc.</t>
  </si>
  <si>
    <t>This tool is best used when a fishery monitoring system is proposed for a particular fishery, or when a change in a fishery's monitoring system is proposed. This may include changes in data review rates, observer coverage rates, or monitoring goals.</t>
  </si>
  <si>
    <t>Number of Trips per Month</t>
  </si>
  <si>
    <t>Number of ports in fishery:</t>
  </si>
  <si>
    <t>Geographical Isolation of Ports:</t>
  </si>
  <si>
    <t>Geographical Spread of Ports:</t>
  </si>
  <si>
    <t>Number of Purse Seine sets per fishing day:</t>
  </si>
  <si>
    <t>Trawl Hauls per Fishing Day:</t>
  </si>
  <si>
    <t>Longline Hauls per Fishing Day:</t>
  </si>
  <si>
    <t>Number of Pots per Fishing Day:</t>
  </si>
  <si>
    <t>Number of Gillnet Sets per Fishing Day:</t>
  </si>
  <si>
    <t>Time Required for Longline Deployment per Set (mins):</t>
  </si>
  <si>
    <t>Time Required to Retrieve each Longline Set (mins):</t>
  </si>
  <si>
    <t>Time Required to Retrieve each Pot and Sort Catch (mins):</t>
  </si>
  <si>
    <t>Length of Time from Haulback to All Catch in Hold (mins):</t>
  </si>
  <si>
    <t>Length of each Trawl Deployment (Set to Haulback) (mins):</t>
  </si>
  <si>
    <t>Time Required to Retrieve each Set (mins):</t>
  </si>
  <si>
    <t>Trawl Activity</t>
  </si>
  <si>
    <t>Longline Activity</t>
  </si>
  <si>
    <t>Pot Activity</t>
  </si>
  <si>
    <t>Gillnet Activity</t>
  </si>
  <si>
    <t>Purse Seine Activity</t>
  </si>
  <si>
    <t>Length of each Set (rings down to rings up) (mins):</t>
  </si>
  <si>
    <t>Length of Time Required to Dump Catch (mins):</t>
  </si>
  <si>
    <t>Monitoring Goals</t>
  </si>
  <si>
    <t>Seabird / Marine Mammal Interactions</t>
  </si>
  <si>
    <t>Full Retention Compliance</t>
  </si>
  <si>
    <t>Protected Species Monitoring</t>
  </si>
  <si>
    <t>Catch + Discard Identification / Quantification</t>
  </si>
  <si>
    <t>Catch + Discard Length Measurements</t>
  </si>
  <si>
    <t>Observer Coverage</t>
  </si>
  <si>
    <t>% of fishing days observed:</t>
  </si>
  <si>
    <t>Electronic Monitoring</t>
  </si>
  <si>
    <t>Data Storage</t>
  </si>
  <si>
    <t>Number of years to store video data:</t>
  </si>
  <si>
    <t>Cost Category</t>
  </si>
  <si>
    <t>Program Management</t>
  </si>
  <si>
    <t>Observer Deployment</t>
  </si>
  <si>
    <t>Training and Certification</t>
  </si>
  <si>
    <t>Data Transmission</t>
  </si>
  <si>
    <t>Data Review/Processing</t>
  </si>
  <si>
    <t>Vessel/Other Costs</t>
  </si>
  <si>
    <t>Industry %</t>
  </si>
  <si>
    <t>Government %</t>
  </si>
  <si>
    <t>At-Sea Observer Costs</t>
  </si>
  <si>
    <t>Electronic Monitoring Costs</t>
  </si>
  <si>
    <t>EM Equipment Purchase</t>
  </si>
  <si>
    <t>EM Installation</t>
  </si>
  <si>
    <t>EM Maintenance</t>
  </si>
  <si>
    <t>EM Data Transmission</t>
  </si>
  <si>
    <t>EM Data Review/Processing</t>
  </si>
  <si>
    <t>EM Data Storage</t>
  </si>
  <si>
    <t>Observers on Federal Contract?</t>
  </si>
  <si>
    <t>Number of years to store raw observer data:</t>
  </si>
  <si>
    <t>Video Data Chain of Custody Required?</t>
  </si>
  <si>
    <t>Data Required After Each Trip?</t>
  </si>
  <si>
    <t>Cost Drivers</t>
  </si>
  <si>
    <t>Maintenance by Fishermen Permitted?</t>
  </si>
  <si>
    <t>1. Program Management</t>
  </si>
  <si>
    <t>a. labor</t>
  </si>
  <si>
    <t>2. Equipment Purchase</t>
  </si>
  <si>
    <t>b. extra camera</t>
  </si>
  <si>
    <t>c. power bank</t>
  </si>
  <si>
    <t>3. Equipment Installation</t>
  </si>
  <si>
    <t>b. travel</t>
  </si>
  <si>
    <t>c. lodging/per diem</t>
  </si>
  <si>
    <t>4. Equipment Maintenance</t>
  </si>
  <si>
    <t>5. Data Transmission</t>
  </si>
  <si>
    <t>6. Data Review and Processing</t>
  </si>
  <si>
    <t>d. reviewer time: seabird/marine mammal review</t>
  </si>
  <si>
    <t>e. reviewer time:discard compliance review</t>
  </si>
  <si>
    <t>f. reviewer time: protected species monitoring</t>
  </si>
  <si>
    <t>g. reviewer time: catch/discard identification/quantification</t>
  </si>
  <si>
    <t>h. reviewer time: catch + discard length measurements</t>
  </si>
  <si>
    <t>7. EM Data Storage</t>
  </si>
  <si>
    <t>EM Costs</t>
  </si>
  <si>
    <t>ASO Costs</t>
  </si>
  <si>
    <t>2. Observer Deployment</t>
  </si>
  <si>
    <t>a. deployment costs (inc. lodging/travel)</t>
  </si>
  <si>
    <t>b. gear costs</t>
  </si>
  <si>
    <t>3. Observer Training + Certification</t>
  </si>
  <si>
    <t>a. personnel</t>
  </si>
  <si>
    <t>4. Data Transmission</t>
  </si>
  <si>
    <t>a. satellite transmission costs</t>
  </si>
  <si>
    <t>5. Data Review + Processing</t>
  </si>
  <si>
    <t>a. debriefing personnel</t>
  </si>
  <si>
    <t>6. Data Storage</t>
  </si>
  <si>
    <t>7. Vessel Costs</t>
  </si>
  <si>
    <t>a. value of missed fishing opportunity</t>
  </si>
  <si>
    <t>Observer Gear Costs</t>
  </si>
  <si>
    <t>Number of Fishing Vessels to be monitored in Fishery:</t>
  </si>
  <si>
    <t>Itemized Cost</t>
  </si>
  <si>
    <t>Starting Estimate</t>
  </si>
  <si>
    <t>Year 1</t>
  </si>
  <si>
    <t>Year 2</t>
  </si>
  <si>
    <t>Year 3</t>
  </si>
  <si>
    <t>Year 4</t>
  </si>
  <si>
    <t>Year 5</t>
  </si>
  <si>
    <t>NPV of costs</t>
  </si>
  <si>
    <t>1 day per vessel</t>
  </si>
  <si>
    <t>Video Hours per vessel per year</t>
  </si>
  <si>
    <t>Seabird / MM monitoring</t>
  </si>
  <si>
    <t>Catch monitoring</t>
  </si>
  <si>
    <t>Trawl</t>
  </si>
  <si>
    <t>Longline</t>
  </si>
  <si>
    <t>Pot</t>
  </si>
  <si>
    <t>Gillnet</t>
  </si>
  <si>
    <t>Purse seine</t>
  </si>
  <si>
    <t>data generation per camera hour (GB)</t>
  </si>
  <si>
    <t>% of fishing activity recorded:</t>
  </si>
  <si>
    <t># Trips per vessel per year</t>
  </si>
  <si>
    <t># Fishing Days per vessel per year</t>
  </si>
  <si>
    <t>Notes</t>
  </si>
  <si>
    <t>UNITS</t>
  </si>
  <si>
    <t>per observer day</t>
  </si>
  <si>
    <t>per observer per year</t>
  </si>
  <si>
    <t>Warehouse storage for observer forms</t>
  </si>
  <si>
    <t>1 FTE for every 90 observers</t>
  </si>
  <si>
    <t xml:space="preserve">388 for 100% coverage. </t>
  </si>
  <si>
    <t>b. briefing/in-season support</t>
  </si>
  <si>
    <t>1 trainer can train 40 observers per year. But need 2 trainers. Only .33 of all observers need training. So, 2FTE minimum up to 240 observers. Then add one more for every 120 observers in the fishery.</t>
  </si>
  <si>
    <t>Adjust this with more research.</t>
  </si>
  <si>
    <t>1 debriefer for every 30 observers.</t>
  </si>
  <si>
    <t>Adjust this with more research</t>
  </si>
  <si>
    <t xml:space="preserve">30 times out of 45000 observer days a vessel has to wait at dock. Value of lost fishing opportunity is $10,000 per day. </t>
  </si>
  <si>
    <t>a. shipping costs</t>
  </si>
  <si>
    <t>fee per vessel</t>
  </si>
  <si>
    <t>per vessel per year</t>
  </si>
  <si>
    <t>per vessel every 5 years</t>
  </si>
  <si>
    <t>per vessel one time</t>
  </si>
  <si>
    <t>8 hours plus 2 hours per camera</t>
  </si>
  <si>
    <t>per shipment</t>
  </si>
  <si>
    <t>per reviewer</t>
  </si>
  <si>
    <t>1 FTE for 40 vessels per year</t>
  </si>
  <si>
    <t>1/3 of vessels require an additonal power bank</t>
  </si>
  <si>
    <t>a. base unit with 2 cameras</t>
  </si>
  <si>
    <t>1/5 roundtrip airfare. + 500 + 1000 for isolation</t>
  </si>
  <si>
    <t>per reviewer per year</t>
  </si>
  <si>
    <t>per reviewer every 5 years</t>
  </si>
  <si>
    <t>two weeks training average per reviewer, each reviewer lasts 2.5 years</t>
  </si>
  <si>
    <t>per hour</t>
  </si>
  <si>
    <t>each reviewer can do 1440 hrs video review per year</t>
  </si>
  <si>
    <t>Cost per Vessel</t>
  </si>
  <si>
    <t>Total Annual Cost</t>
  </si>
  <si>
    <t># vessels</t>
  </si>
  <si>
    <t># cameras per boat</t>
  </si>
  <si>
    <t># video reviewers needed</t>
  </si>
  <si>
    <t># hours video reviewed</t>
  </si>
  <si>
    <t># retrievals per year per boat</t>
  </si>
  <si>
    <t># observers needed</t>
  </si>
  <si>
    <t># observer days</t>
  </si>
  <si>
    <t>daily observer rate ($)</t>
  </si>
  <si>
    <t>indicator</t>
  </si>
  <si>
    <t>days per observer per year</t>
  </si>
  <si>
    <t>TOTAL COSTS</t>
  </si>
  <si>
    <t>trawl</t>
  </si>
  <si>
    <t>longline</t>
  </si>
  <si>
    <t>pots</t>
  </si>
  <si>
    <t>gillnet</t>
  </si>
  <si>
    <t>purse seine</t>
  </si>
  <si>
    <t>cameras</t>
  </si>
  <si>
    <t># Additional Cameras</t>
  </si>
  <si>
    <t>Total Video Hours SB/MM</t>
  </si>
  <si>
    <t>Total Video Hours catch monitoring</t>
  </si>
  <si>
    <t>Total Camera Hours</t>
  </si>
  <si>
    <t>Total</t>
  </si>
  <si>
    <t>Total Data per boat per year (GB)</t>
  </si>
  <si>
    <t>TOTAL</t>
  </si>
  <si>
    <t>based on flat rate box cost (double for return ship)</t>
  </si>
  <si>
    <t>b. review software</t>
  </si>
  <si>
    <t>c. training costs</t>
  </si>
  <si>
    <t>a. review hardware</t>
  </si>
  <si>
    <t>Total Review Hours</t>
  </si>
  <si>
    <t>per vessel</t>
  </si>
  <si>
    <t>total</t>
  </si>
  <si>
    <t>Total Hours of Review Time</t>
  </si>
  <si>
    <t>SUM</t>
  </si>
  <si>
    <t>SUM per vessel</t>
  </si>
  <si>
    <t>sum</t>
  </si>
  <si>
    <t>GRAND SUM</t>
  </si>
  <si>
    <t>per vessel one time on average</t>
  </si>
  <si>
    <t>a. storage software/hardware/disks</t>
  </si>
  <si>
    <t>EM COSTS</t>
  </si>
  <si>
    <t>ASO COSTS</t>
  </si>
  <si>
    <t>INTEREST RATE</t>
  </si>
  <si>
    <r>
      <t xml:space="preserve">% of fishing activity </t>
    </r>
    <r>
      <rPr>
        <b/>
        <i/>
        <sz val="10"/>
        <color theme="1"/>
        <rFont val="Arial"/>
        <family val="2"/>
      </rPr>
      <t>recorded</t>
    </r>
    <r>
      <rPr>
        <sz val="10"/>
        <color theme="1"/>
        <rFont val="Arial"/>
        <family val="2"/>
      </rPr>
      <t xml:space="preserve"> that is </t>
    </r>
    <r>
      <rPr>
        <b/>
        <i/>
        <sz val="10"/>
        <color theme="1"/>
        <rFont val="Arial"/>
        <family val="2"/>
      </rPr>
      <t>reviewed</t>
    </r>
  </si>
  <si>
    <t>Length of Each Trip (fishing days):</t>
  </si>
  <si>
    <t xml:space="preserve">Although best efforts have been made to populate the tool with accurate, up to date cost estimates, the nebulous nature of many monitoring costs means that estimates calculated may not represent the full and real monitoring costs in every particular situation. Cost estimates are meant to be used as a guide for comparison purposes and to explore the 'texture' of monitoring costs. In addition, the generalized nature of the tool- it is meant to be applicable to all commercial fisheries in the United States- means that the relationship between costs and cost drivers contained in the model may result in a cost estimate for a particular fishery that may be inaccurate. </t>
  </si>
  <si>
    <t>Intermediary Cost Drivers</t>
  </si>
  <si>
    <t>base # cameras per gear type</t>
  </si>
  <si>
    <t>Gear Type</t>
  </si>
  <si>
    <t>Recording and Data Quantity/Hours</t>
  </si>
  <si>
    <t>Data Quantity per vessel per year</t>
  </si>
  <si>
    <t>Total Video Hours</t>
  </si>
  <si>
    <t>Total Data (GB)</t>
  </si>
  <si>
    <t>sb/mm ratio</t>
  </si>
  <si>
    <t>discard ratio</t>
  </si>
  <si>
    <t>PS ratio</t>
  </si>
  <si>
    <t>Catch Quant. Ratio</t>
  </si>
  <si>
    <t>Lengths ratio</t>
  </si>
  <si>
    <t>TOTAL CAMERAS</t>
  </si>
  <si>
    <t>data quantity (GB)</t>
  </si>
  <si>
    <t>HIGH</t>
  </si>
  <si>
    <t>MEDIUM</t>
  </si>
  <si>
    <t>LOW</t>
  </si>
  <si>
    <t>based on AMR's proprietary software</t>
  </si>
  <si>
    <t>per TB per year</t>
  </si>
  <si>
    <t>Fleetwide Cost</t>
  </si>
  <si>
    <t>TOTAL 5yr COST</t>
  </si>
  <si>
    <t>Cost Comparison (per vessel)</t>
  </si>
  <si>
    <t>The full user guide ("Fisheries Monitoring Costs Calculator") for this tool can be found at: 
These instructions are meant to serve as a quick start guide for the tool.</t>
  </si>
  <si>
    <t>1) Getting Started: the "Cost Drivers" tab</t>
  </si>
  <si>
    <t>2) Specifying who bears the burden of costs: the "Who Pays" tab</t>
  </si>
  <si>
    <t xml:space="preserve">Use this tab to indicate which costs will be borne by industry (individual fishing vessel) and which will be borne by
government (fishery management agency, NOAA fisheries, or other). 
Use the sliders to indicate the percentage of each cost category that will be borne by industry (the percentage borne by 
government is automatically calculated). </t>
  </si>
  <si>
    <t>3) Cost Outputs: the "EM Costs" and "ASO Costs" tabs</t>
  </si>
  <si>
    <t>These tabs show detailed output from the built-in cost calculations for an Electronic Monitoring system and an At-Sea 
Observer system.</t>
  </si>
  <si>
    <t>4) Cost Outputs: the "Industry Costs", "Government Costs", and "Cost Comparison" tabs</t>
  </si>
  <si>
    <t>These tabs form the main results and show costs on an annual basis, as well as a total 5 year cost and a discounted 
Net Present Value (NPV) of 5 year costs (using the interest rate specified in each sheet), for Industry, Government,
and all costs combined, respectively.</t>
  </si>
  <si>
    <t>The "Cost Drivers" tab allows the user to specify the characteristics of the fishery that the tool is being applied to. 
The left side of the tab contains the fishery characteristics: e.g. number of ports, the geographical spread of ports, the gear 
types and level of fishing activity. Specify an input for each fishery characteristic using the slider bars and buttons provided.
The right side of the tab contains the program standards and monitoring goals: e.g.catch quantification and identification
 vs discard monitoring, level of observer coverage, amount of fishing activity reviewed etc. Specify an input for each item 
using the slider bars and buttons provided.
These cost drivers directly impact the calculation of costs for both camera-based electronic monitoring and the
deployment of at-sea observers.</t>
  </si>
  <si>
    <t>a. briefing/in-season support</t>
  </si>
  <si>
    <r>
      <t xml:space="preserve">Authors: </t>
    </r>
    <r>
      <rPr>
        <sz val="11"/>
        <color theme="1"/>
        <rFont val="Arial"/>
        <family val="2"/>
      </rPr>
      <t xml:space="preserve">Christopher Cusack, Michael Harte, Gil Sylvia
</t>
    </r>
    <r>
      <rPr>
        <b/>
        <sz val="11"/>
        <color theme="1"/>
        <rFont val="Arial"/>
        <family val="2"/>
      </rPr>
      <t>Distribution</t>
    </r>
    <r>
      <rPr>
        <sz val="11"/>
        <color theme="1"/>
        <rFont val="Arial"/>
        <family val="2"/>
      </rPr>
      <t xml:space="preserve">: External
</t>
    </r>
    <r>
      <rPr>
        <b/>
        <sz val="11"/>
        <color theme="1"/>
        <rFont val="Arial"/>
        <family val="2"/>
      </rPr>
      <t xml:space="preserve">Version: </t>
    </r>
    <r>
      <rPr>
        <sz val="11"/>
        <color theme="1"/>
        <rFont val="Arial"/>
        <family val="2"/>
      </rPr>
      <t>1.2 2018</t>
    </r>
    <r>
      <rPr>
        <b/>
        <sz val="11"/>
        <color theme="1"/>
        <rFont val="Arial"/>
        <family val="2"/>
      </rPr>
      <t xml:space="preserve">
Compatability: </t>
    </r>
    <r>
      <rPr>
        <sz val="11"/>
        <color theme="1"/>
        <rFont val="Arial"/>
        <family val="2"/>
      </rPr>
      <t>Due to Excel features this tool works better in the Windows operating system.</t>
    </r>
    <r>
      <rPr>
        <b/>
        <sz val="11"/>
        <color theme="1"/>
        <rFont val="Arial"/>
        <family val="2"/>
      </rPr>
      <t xml:space="preserve">
Disclaimer: </t>
    </r>
    <r>
      <rPr>
        <sz val="11"/>
        <color theme="1"/>
        <rFont val="Arial"/>
        <family val="2"/>
      </rPr>
      <t>Any views expressed in this tool and associated materials are those of the authors and do not necessarily represent those of the contributors or their organizations. Any errors are those of the authors. This tool and any supporting materials are decision-support tools and results should be interpreted as such. Neither EDF, nor the authors, take responsibility for any outcomes that result from the use of this tool.</t>
    </r>
  </si>
  <si>
    <t>total # hours video per boat</t>
  </si>
  <si>
    <t>doubled hourly rate to 100.</t>
  </si>
  <si>
    <t>changed to 250 per vessel one time- two vessels per trip</t>
  </si>
  <si>
    <t>100 per hour. 20% of vessels need maintenance</t>
  </si>
  <si>
    <t>add 100 per isolation</t>
  </si>
  <si>
    <t>20% of vessels need 4 hrs/year</t>
  </si>
  <si>
    <t>Video Reviewer wage rate per hour</t>
  </si>
  <si>
    <t>Annual cost estimate from PSMFC</t>
  </si>
  <si>
    <t xml:space="preserve"> </t>
  </si>
  <si>
    <t>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</si>
</sst>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4" formatCode="_(&quot;$&quot;* #,##0.00_);_(&quot;$&quot;* \(#,##0.00\);_(&quot;$&quot;* &quot;-&quot;??_);_(@_)"/>
    <numFmt numFmtId="164" formatCode=";;;"/>
  </numFmts>
  <fonts count="17" x14ac:knownFonts="1">
    <font>
      <sz val="11"/>
      <color theme="1"/>
      <name val="Calibri"/>
      <family val="2"/>
      <scheme val="minor"/>
    </font>
    <font>
      <sz val="11"/>
      <color theme="1"/>
      <name val="Arial"/>
      <family val="2"/>
    </font>
    <font>
      <b/>
      <sz val="18"/>
      <color rgb="FF009FDA"/>
      <name val="Arial"/>
      <family val="2"/>
    </font>
    <font>
      <b/>
      <sz val="22"/>
      <color rgb="FF009FDA"/>
      <name val="Arial"/>
      <family val="2"/>
    </font>
    <font>
      <b/>
      <sz val="11"/>
      <color theme="1"/>
      <name val="Arial"/>
      <family val="2"/>
    </font>
    <font>
      <b/>
      <sz val="12"/>
      <color rgb="FF009FDA"/>
      <name val="Arial"/>
      <family val="2"/>
    </font>
    <font>
      <b/>
      <sz val="11"/>
      <color rgb="FF009FDA"/>
      <name val="Arial"/>
      <family val="2"/>
    </font>
    <font>
      <sz val="10"/>
      <color theme="1"/>
      <name val="Arial"/>
      <family val="2"/>
    </font>
    <font>
      <b/>
      <sz val="10"/>
      <color theme="1"/>
      <name val="Arial"/>
      <family val="2"/>
    </font>
    <font>
      <b/>
      <i/>
      <sz val="10"/>
      <color theme="1"/>
      <name val="Arial"/>
      <family val="2"/>
    </font>
    <font>
      <i/>
      <sz val="10"/>
      <color theme="1"/>
      <name val="Arial"/>
      <family val="2"/>
    </font>
    <font>
      <sz val="8"/>
      <color rgb="FF000000"/>
      <name val="Segoe UI"/>
      <family val="2"/>
    </font>
    <font>
      <sz val="11"/>
      <color theme="1"/>
      <name val="Calibri"/>
      <family val="2"/>
      <scheme val="minor"/>
    </font>
    <font>
      <sz val="11"/>
      <color rgb="FF333333"/>
      <name val="Consolas"/>
      <family val="3"/>
    </font>
    <font>
      <sz val="10"/>
      <color rgb="FF009FDA"/>
      <name val="Arial"/>
      <family val="2"/>
    </font>
    <font>
      <b/>
      <sz val="10"/>
      <color rgb="FF009FDA"/>
      <name val="Arial"/>
      <family val="2"/>
    </font>
    <font>
      <sz val="10"/>
      <color rgb="FFD9D9D9"/>
      <name val="Arial"/>
      <family val="2"/>
    </font>
  </fonts>
  <fills count="7">
    <fill>
      <patternFill patternType="none"/>
    </fill>
    <fill>
      <patternFill patternType="gray125"/>
    </fill>
    <fill>
      <patternFill patternType="solid">
        <fgColor rgb="FFD9D9D9"/>
        <bgColor indexed="64"/>
      </patternFill>
    </fill>
    <fill>
      <patternFill patternType="solid">
        <fgColor rgb="FFEAF0F6"/>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rgb="FFDDDDDD"/>
      </left>
      <right style="medium">
        <color rgb="FFDDDDDD"/>
      </right>
      <top/>
      <bottom style="medium">
        <color rgb="FFDDDDDD"/>
      </bottom>
      <diagonal/>
    </border>
    <border>
      <left style="thin">
        <color indexed="64"/>
      </left>
      <right/>
      <top style="thin">
        <color indexed="64"/>
      </top>
      <bottom style="thin">
        <color indexed="64"/>
      </bottom>
      <diagonal/>
    </border>
  </borders>
  <cellStyleXfs count="2">
    <xf numFmtId="0" fontId="0" fillId="0" borderId="0"/>
    <xf numFmtId="44" fontId="12" fillId="0" borderId="0" applyFont="0" applyFill="0" applyBorder="0" applyAlignment="0" applyProtection="0"/>
  </cellStyleXfs>
  <cellXfs count="63">
    <xf numFmtId="0" fontId="0" fillId="0" borderId="0" xfId="0"/>
    <xf numFmtId="0" fontId="1" fillId="0" borderId="0" xfId="0" applyFont="1" applyFill="1"/>
    <xf numFmtId="0" fontId="1" fillId="2" borderId="0" xfId="0" applyFont="1" applyFill="1"/>
    <xf numFmtId="0" fontId="2" fillId="0" borderId="0" xfId="0" applyFont="1" applyFill="1" applyAlignment="1">
      <alignment horizontal="left"/>
    </xf>
    <xf numFmtId="0" fontId="3" fillId="0" borderId="0" xfId="0" applyFont="1" applyFill="1" applyAlignment="1">
      <alignment vertical="center"/>
    </xf>
    <xf numFmtId="0" fontId="4" fillId="3" borderId="0" xfId="0" applyFont="1" applyFill="1" applyAlignment="1">
      <alignment vertical="top" wrapText="1"/>
    </xf>
    <xf numFmtId="0" fontId="5" fillId="0" borderId="0" xfId="0" applyFont="1" applyFill="1" applyAlignment="1">
      <alignment horizontal="left" vertical="center"/>
    </xf>
    <xf numFmtId="0" fontId="1" fillId="3" borderId="0" xfId="0" applyFont="1" applyFill="1" applyAlignment="1">
      <alignment horizontal="left" vertical="top" wrapText="1"/>
    </xf>
    <xf numFmtId="0" fontId="1" fillId="3" borderId="0" xfId="0" applyFont="1" applyFill="1" applyAlignment="1">
      <alignment vertical="top" wrapText="1"/>
    </xf>
    <xf numFmtId="0" fontId="1" fillId="4" borderId="0" xfId="0" applyFont="1" applyFill="1" applyAlignment="1">
      <alignment horizontal="left" vertical="top" wrapText="1"/>
    </xf>
    <xf numFmtId="0" fontId="7" fillId="2" borderId="0" xfId="0" applyFont="1" applyFill="1"/>
    <xf numFmtId="0" fontId="8" fillId="2" borderId="0" xfId="0" applyFont="1" applyFill="1"/>
    <xf numFmtId="0" fontId="9" fillId="2" borderId="0" xfId="0" applyFont="1" applyFill="1" applyAlignment="1">
      <alignment horizontal="center"/>
    </xf>
    <xf numFmtId="0" fontId="7" fillId="4" borderId="0" xfId="0" applyFont="1" applyFill="1"/>
    <xf numFmtId="0" fontId="9" fillId="5" borderId="0" xfId="0" applyFont="1" applyFill="1" applyAlignment="1">
      <alignment horizontal="center"/>
    </xf>
    <xf numFmtId="0" fontId="7" fillId="5" borderId="0" xfId="0" applyFont="1" applyFill="1"/>
    <xf numFmtId="0" fontId="9" fillId="5" borderId="0" xfId="0" applyFont="1" applyFill="1"/>
    <xf numFmtId="0" fontId="8" fillId="6" borderId="0" xfId="0" applyFont="1" applyFill="1"/>
    <xf numFmtId="0" fontId="9" fillId="2" borderId="0" xfId="0" applyFont="1" applyFill="1" applyAlignment="1">
      <alignment horizontal="right"/>
    </xf>
    <xf numFmtId="0" fontId="7" fillId="4" borderId="1" xfId="0" applyFont="1" applyFill="1" applyBorder="1" applyAlignment="1">
      <alignment horizontal="right"/>
    </xf>
    <xf numFmtId="0" fontId="7" fillId="4" borderId="1" xfId="0" applyFont="1" applyFill="1" applyBorder="1"/>
    <xf numFmtId="0" fontId="7" fillId="2" borderId="1" xfId="0" applyFont="1" applyFill="1" applyBorder="1"/>
    <xf numFmtId="0" fontId="5" fillId="4" borderId="0" xfId="0" applyFont="1" applyFill="1"/>
    <xf numFmtId="0" fontId="7" fillId="2" borderId="0" xfId="0" applyFont="1" applyFill="1" applyBorder="1"/>
    <xf numFmtId="0" fontId="8" fillId="4" borderId="1" xfId="0" applyFont="1" applyFill="1" applyBorder="1" applyAlignment="1">
      <alignment horizontal="center" vertical="center"/>
    </xf>
    <xf numFmtId="0" fontId="10" fillId="4" borderId="1" xfId="0" applyFont="1" applyFill="1" applyBorder="1" applyAlignment="1">
      <alignment vertical="center"/>
    </xf>
    <xf numFmtId="0" fontId="10" fillId="4" borderId="1" xfId="0" applyFont="1" applyFill="1" applyBorder="1" applyAlignment="1">
      <alignment horizontal="left" vertical="center"/>
    </xf>
    <xf numFmtId="0" fontId="8" fillId="3" borderId="0" xfId="0" applyFont="1" applyFill="1"/>
    <xf numFmtId="0" fontId="6" fillId="2" borderId="0" xfId="0" applyFont="1" applyFill="1"/>
    <xf numFmtId="3" fontId="7" fillId="2" borderId="0" xfId="0" applyNumberFormat="1" applyFont="1" applyFill="1"/>
    <xf numFmtId="0" fontId="7" fillId="3" borderId="0" xfId="0" applyFont="1" applyFill="1"/>
    <xf numFmtId="44" fontId="7" fillId="4" borderId="0" xfId="1" applyFont="1" applyFill="1"/>
    <xf numFmtId="0" fontId="13" fillId="2" borderId="2" xfId="0" applyFont="1" applyFill="1" applyBorder="1" applyAlignment="1">
      <alignment horizontal="left" vertical="center" indent="1"/>
    </xf>
    <xf numFmtId="0" fontId="8" fillId="4" borderId="0" xfId="0" applyFont="1" applyFill="1"/>
    <xf numFmtId="0" fontId="14" fillId="3" borderId="0" xfId="0" applyFont="1" applyFill="1"/>
    <xf numFmtId="0" fontId="15" fillId="3" borderId="0" xfId="0" applyFont="1" applyFill="1"/>
    <xf numFmtId="0" fontId="2" fillId="3" borderId="0" xfId="0" applyFont="1" applyFill="1" applyAlignment="1">
      <alignment horizontal="left"/>
    </xf>
    <xf numFmtId="0" fontId="2" fillId="2" borderId="0" xfId="0" applyFont="1" applyFill="1" applyAlignment="1">
      <alignment horizontal="left"/>
    </xf>
    <xf numFmtId="0" fontId="6" fillId="3" borderId="0" xfId="0" applyFont="1" applyFill="1" applyAlignment="1">
      <alignment horizontal="left"/>
    </xf>
    <xf numFmtId="0" fontId="6" fillId="3" borderId="0" xfId="0" applyFont="1" applyFill="1"/>
    <xf numFmtId="0" fontId="15" fillId="3" borderId="0" xfId="0" applyFont="1" applyFill="1" applyBorder="1"/>
    <xf numFmtId="0" fontId="7" fillId="3" borderId="0" xfId="0" applyFont="1" applyFill="1" applyBorder="1"/>
    <xf numFmtId="0" fontId="7" fillId="0" borderId="1" xfId="0" applyFont="1" applyFill="1" applyBorder="1"/>
    <xf numFmtId="10" fontId="7" fillId="3" borderId="0" xfId="0" applyNumberFormat="1" applyFont="1" applyFill="1" applyBorder="1"/>
    <xf numFmtId="44" fontId="7" fillId="3" borderId="0" xfId="1" applyFont="1" applyFill="1" applyBorder="1"/>
    <xf numFmtId="6" fontId="7" fillId="3" borderId="0" xfId="0" applyNumberFormat="1" applyFont="1" applyFill="1" applyBorder="1"/>
    <xf numFmtId="164" fontId="7" fillId="2" borderId="0" xfId="0" applyNumberFormat="1" applyFont="1" applyFill="1"/>
    <xf numFmtId="164" fontId="8" fillId="2" borderId="0" xfId="0" applyNumberFormat="1" applyFont="1" applyFill="1"/>
    <xf numFmtId="0" fontId="7" fillId="4" borderId="3" xfId="0" applyFont="1" applyFill="1" applyBorder="1"/>
    <xf numFmtId="0" fontId="7" fillId="4" borderId="3" xfId="0" applyFont="1" applyFill="1" applyBorder="1" applyAlignment="1">
      <alignment horizontal="right"/>
    </xf>
    <xf numFmtId="0" fontId="1" fillId="4" borderId="1" xfId="0" applyFont="1" applyFill="1" applyBorder="1"/>
    <xf numFmtId="164" fontId="1" fillId="2" borderId="0" xfId="0" applyNumberFormat="1" applyFont="1" applyFill="1" applyBorder="1"/>
    <xf numFmtId="164" fontId="7" fillId="2" borderId="0" xfId="1" applyNumberFormat="1" applyFont="1" applyFill="1"/>
    <xf numFmtId="164" fontId="6" fillId="2" borderId="0" xfId="0" applyNumberFormat="1" applyFont="1" applyFill="1"/>
    <xf numFmtId="0" fontId="15" fillId="2" borderId="0" xfId="0" applyFont="1" applyFill="1"/>
    <xf numFmtId="0" fontId="7" fillId="2" borderId="0" xfId="0" applyNumberFormat="1" applyFont="1" applyFill="1"/>
    <xf numFmtId="0" fontId="1" fillId="0" borderId="0" xfId="0" applyNumberFormat="1" applyFont="1" applyFill="1"/>
    <xf numFmtId="0" fontId="1" fillId="2" borderId="0" xfId="0" applyNumberFormat="1" applyFont="1" applyFill="1"/>
    <xf numFmtId="0" fontId="16" fillId="2" borderId="0" xfId="0" applyNumberFormat="1" applyFont="1" applyFill="1" applyBorder="1"/>
    <xf numFmtId="164" fontId="1" fillId="0" borderId="0" xfId="0" applyNumberFormat="1" applyFont="1" applyFill="1"/>
    <xf numFmtId="164" fontId="7" fillId="2" borderId="0" xfId="0" applyNumberFormat="1" applyFont="1" applyFill="1" applyBorder="1"/>
    <xf numFmtId="164" fontId="8" fillId="2" borderId="0" xfId="0" applyNumberFormat="1" applyFont="1" applyFill="1" applyBorder="1"/>
    <xf numFmtId="164" fontId="1" fillId="2" borderId="0" xfId="0" applyNumberFormat="1" applyFont="1" applyFill="1"/>
  </cellXfs>
  <cellStyles count="2">
    <cellStyle name="Currency" xfId="1" builtinId="4"/>
    <cellStyle name="Normal" xfId="0" builtinId="0"/>
  </cellStyles>
  <dxfs count="0"/>
  <tableStyles count="0" defaultTableStyle="TableStyleMedium2" defaultPivotStyle="PivotStyleLight16"/>
  <colors>
    <mruColors>
      <color rgb="FFD9D9D9"/>
      <color rgb="FFEAF0F6"/>
      <color rgb="FF009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Scroll" dx="22" fmlaLink="$C$4" horiz="1" max="500" min="1" page="10" val="150"/>
</file>

<file path=xl/ctrlProps/ctrlProp10.xml><?xml version="1.0" encoding="utf-8"?>
<formControlPr xmlns="http://schemas.microsoft.com/office/spreadsheetml/2009/9/main" objectType="Scroll" dx="22" fmlaLink="$C$20" horiz="1" inc="5" max="600" page="10" val="0"/>
</file>

<file path=xl/ctrlProps/ctrlProp11.xml><?xml version="1.0" encoding="utf-8"?>
<formControlPr xmlns="http://schemas.microsoft.com/office/spreadsheetml/2009/9/main" objectType="Scroll" dx="22" fmlaLink="$C$23" horiz="1" max="200" page="5" val="0"/>
</file>

<file path=xl/ctrlProps/ctrlProp12.xml><?xml version="1.0" encoding="utf-8"?>
<formControlPr xmlns="http://schemas.microsoft.com/office/spreadsheetml/2009/9/main" objectType="Scroll" dx="22" fmlaLink="$C$24" horiz="1" max="60" page="5" val="0"/>
</file>

<file path=xl/ctrlProps/ctrlProp13.xml><?xml version="1.0" encoding="utf-8"?>
<formControlPr xmlns="http://schemas.microsoft.com/office/spreadsheetml/2009/9/main" objectType="Scroll" dx="22" fmlaLink="$C$27" horiz="1" max="24" page="5" val="0"/>
</file>

<file path=xl/ctrlProps/ctrlProp14.xml><?xml version="1.0" encoding="utf-8"?>
<formControlPr xmlns="http://schemas.microsoft.com/office/spreadsheetml/2009/9/main" objectType="Scroll" dx="22" fmlaLink="$C$28" horiz="1" max="240" page="5" val="0"/>
</file>

<file path=xl/ctrlProps/ctrlProp15.xml><?xml version="1.0" encoding="utf-8"?>
<formControlPr xmlns="http://schemas.microsoft.com/office/spreadsheetml/2009/9/main" objectType="Scroll" dx="22" fmlaLink="$C$31" horiz="1" max="12" page="5" val="4"/>
</file>

<file path=xl/ctrlProps/ctrlProp16.xml><?xml version="1.0" encoding="utf-8"?>
<formControlPr xmlns="http://schemas.microsoft.com/office/spreadsheetml/2009/9/main" objectType="Scroll" dx="22" fmlaLink="$C$32" horiz="1" inc="5" max="720" page="10" val="60"/>
</file>

<file path=xl/ctrlProps/ctrlProp17.xml><?xml version="1.0" encoding="utf-8"?>
<formControlPr xmlns="http://schemas.microsoft.com/office/spreadsheetml/2009/9/main" objectType="Scroll" dx="22" fmlaLink="$C$33" horiz="1" inc="5" max="360" page="10" val="90"/>
</file>

<file path=xl/ctrlProps/ctrlProp18.xml><?xml version="1.0" encoding="utf-8"?>
<formControlPr xmlns="http://schemas.microsoft.com/office/spreadsheetml/2009/9/main" objectType="Drop" dropLines="3" dropStyle="combo" dx="16" fmlaLink="$C$6" fmlaRange="$K$5:$K$7" sel="3" val="0"/>
</file>

<file path=xl/ctrlProps/ctrlProp19.xml><?xml version="1.0" encoding="utf-8"?>
<formControlPr xmlns="http://schemas.microsoft.com/office/spreadsheetml/2009/9/main" objectType="Drop" dropLines="3" dropStyle="combo" dx="16" fmlaLink="$C$7" fmlaRange="$K$5:$K$7" sel="3" val="0"/>
</file>

<file path=xl/ctrlProps/ctrlProp2.xml><?xml version="1.0" encoding="utf-8"?>
<formControlPr xmlns="http://schemas.microsoft.com/office/spreadsheetml/2009/9/main" objectType="Scroll" dx="22" fmlaLink="$C$5" horiz="1" max="30" page="5" val="6"/>
</file>

<file path=xl/ctrlProps/ctrlProp20.xml><?xml version="1.0" encoding="utf-8"?>
<formControlPr xmlns="http://schemas.microsoft.com/office/spreadsheetml/2009/9/main" objectType="CheckBox" checked="Checked" fmlaLink="$H$5" lockText="1"/>
</file>

<file path=xl/ctrlProps/ctrlProp21.xml><?xml version="1.0" encoding="utf-8"?>
<formControlPr xmlns="http://schemas.microsoft.com/office/spreadsheetml/2009/9/main" objectType="CheckBox" checked="Checked" fmlaLink="$H$6" lockText="1"/>
</file>

<file path=xl/ctrlProps/ctrlProp22.xml><?xml version="1.0" encoding="utf-8"?>
<formControlPr xmlns="http://schemas.microsoft.com/office/spreadsheetml/2009/9/main" objectType="CheckBox" checked="Checked" fmlaLink="$H$7" lockText="1"/>
</file>

<file path=xl/ctrlProps/ctrlProp23.xml><?xml version="1.0" encoding="utf-8"?>
<formControlPr xmlns="http://schemas.microsoft.com/office/spreadsheetml/2009/9/main" objectType="CheckBox" fmlaLink="$H$8" lockText="1"/>
</file>

<file path=xl/ctrlProps/ctrlProp24.xml><?xml version="1.0" encoding="utf-8"?>
<formControlPr xmlns="http://schemas.microsoft.com/office/spreadsheetml/2009/9/main" objectType="CheckBox" fmlaLink="$H$9" lockText="1"/>
</file>

<file path=xl/ctrlProps/ctrlProp25.xml><?xml version="1.0" encoding="utf-8"?>
<formControlPr xmlns="http://schemas.microsoft.com/office/spreadsheetml/2009/9/main" objectType="Scroll" dx="22" fmlaLink="$G$13" horiz="1" max="200" page="5" val="20"/>
</file>

<file path=xl/ctrlProps/ctrlProp26.xml><?xml version="1.0" encoding="utf-8"?>
<formControlPr xmlns="http://schemas.microsoft.com/office/spreadsheetml/2009/9/main" objectType="Scroll" dx="22" fmlaLink="$G$16" horiz="1" max="100" page="5" val="100"/>
</file>

<file path=xl/ctrlProps/ctrlProp27.xml><?xml version="1.0" encoding="utf-8"?>
<formControlPr xmlns="http://schemas.microsoft.com/office/spreadsheetml/2009/9/main" objectType="Scroll" dx="22" fmlaLink="$G$17" horiz="1" max="100" page="5" val="20"/>
</file>

<file path=xl/ctrlProps/ctrlProp28.xml><?xml version="1.0" encoding="utf-8"?>
<formControlPr xmlns="http://schemas.microsoft.com/office/spreadsheetml/2009/9/main" objectType="Scroll" dx="22" fmlaLink="$G$20" horiz="1" max="20" page="5" val="4"/>
</file>

<file path=xl/ctrlProps/ctrlProp29.xml><?xml version="1.0" encoding="utf-8"?>
<formControlPr xmlns="http://schemas.microsoft.com/office/spreadsheetml/2009/9/main" objectType="Scroll" dx="22" fmlaLink="$G$22" horiz="1" max="20" page="5" val="5"/>
</file>

<file path=xl/ctrlProps/ctrlProp3.xml><?xml version="1.0" encoding="utf-8"?>
<formControlPr xmlns="http://schemas.microsoft.com/office/spreadsheetml/2009/9/main" objectType="Scroll" dx="22" fmlaLink="$C$9" horiz="1" max="30" page="5" val="25"/>
</file>

<file path=xl/ctrlProps/ctrlProp30.xml><?xml version="1.0" encoding="utf-8"?>
<formControlPr xmlns="http://schemas.microsoft.com/office/spreadsheetml/2009/9/main" objectType="CheckBox" fmlaLink="$H$24" lockText="1"/>
</file>

<file path=xl/ctrlProps/ctrlProp31.xml><?xml version="1.0" encoding="utf-8"?>
<formControlPr xmlns="http://schemas.microsoft.com/office/spreadsheetml/2009/9/main" objectType="CheckBox" fmlaLink="$H$26" lockText="1"/>
</file>

<file path=xl/ctrlProps/ctrlProp32.xml><?xml version="1.0" encoding="utf-8"?>
<formControlPr xmlns="http://schemas.microsoft.com/office/spreadsheetml/2009/9/main" objectType="CheckBox" fmlaLink="$H$27" lockText="1"/>
</file>

<file path=xl/ctrlProps/ctrlProp33.xml><?xml version="1.0" encoding="utf-8"?>
<formControlPr xmlns="http://schemas.microsoft.com/office/spreadsheetml/2009/9/main" objectType="CheckBox" fmlaLink="$H$28" lockText="1"/>
</file>

<file path=xl/ctrlProps/ctrlProp34.xml><?xml version="1.0" encoding="utf-8"?>
<formControlPr xmlns="http://schemas.microsoft.com/office/spreadsheetml/2009/9/main" objectType="Scroll" dx="22" fmlaLink="$C$5" horiz="1" max="100" page="5" val="100"/>
</file>

<file path=xl/ctrlProps/ctrlProp35.xml><?xml version="1.0" encoding="utf-8"?>
<formControlPr xmlns="http://schemas.microsoft.com/office/spreadsheetml/2009/9/main" objectType="Scroll" dx="22" fmlaLink="$C$6" horiz="1" max="100" page="5" val="100"/>
</file>

<file path=xl/ctrlProps/ctrlProp36.xml><?xml version="1.0" encoding="utf-8"?>
<formControlPr xmlns="http://schemas.microsoft.com/office/spreadsheetml/2009/9/main" objectType="Scroll" dx="22" fmlaLink="$C$7" horiz="1" max="100" page="5" val="100"/>
</file>

<file path=xl/ctrlProps/ctrlProp37.xml><?xml version="1.0" encoding="utf-8"?>
<formControlPr xmlns="http://schemas.microsoft.com/office/spreadsheetml/2009/9/main" objectType="Scroll" dx="22" fmlaLink="$C$8" horiz="1" max="100" page="5" val="100"/>
</file>

<file path=xl/ctrlProps/ctrlProp38.xml><?xml version="1.0" encoding="utf-8"?>
<formControlPr xmlns="http://schemas.microsoft.com/office/spreadsheetml/2009/9/main" objectType="Scroll" dx="22" fmlaLink="$C$9" horiz="1" max="100" page="5" val="100"/>
</file>

<file path=xl/ctrlProps/ctrlProp39.xml><?xml version="1.0" encoding="utf-8"?>
<formControlPr xmlns="http://schemas.microsoft.com/office/spreadsheetml/2009/9/main" objectType="Scroll" dx="22" fmlaLink="$C$10" horiz="1" max="100" page="5" val="100"/>
</file>

<file path=xl/ctrlProps/ctrlProp4.xml><?xml version="1.0" encoding="utf-8"?>
<formControlPr xmlns="http://schemas.microsoft.com/office/spreadsheetml/2009/9/main" objectType="Scroll" dx="22" fmlaLink="$C$10" horiz="1" max="90" page="5"/>
</file>

<file path=xl/ctrlProps/ctrlProp40.xml><?xml version="1.0" encoding="utf-8"?>
<formControlPr xmlns="http://schemas.microsoft.com/office/spreadsheetml/2009/9/main" objectType="Scroll" dx="22" fmlaLink="$C$11" horiz="1" max="100" page="5" val="100"/>
</file>

<file path=xl/ctrlProps/ctrlProp41.xml><?xml version="1.0" encoding="utf-8"?>
<formControlPr xmlns="http://schemas.microsoft.com/office/spreadsheetml/2009/9/main" objectType="Scroll" dx="22" fmlaLink="$C$12" horiz="1" max="100" page="5" val="100"/>
</file>

<file path=xl/ctrlProps/ctrlProp42.xml><?xml version="1.0" encoding="utf-8"?>
<formControlPr xmlns="http://schemas.microsoft.com/office/spreadsheetml/2009/9/main" objectType="Scroll" dx="22" fmlaLink="$C$17" horiz="1" max="100" page="5" val="100"/>
</file>

<file path=xl/ctrlProps/ctrlProp43.xml><?xml version="1.0" encoding="utf-8"?>
<formControlPr xmlns="http://schemas.microsoft.com/office/spreadsheetml/2009/9/main" objectType="Scroll" dx="22" fmlaLink="$C$18" horiz="1" max="100" page="5" val="100"/>
</file>

<file path=xl/ctrlProps/ctrlProp44.xml><?xml version="1.0" encoding="utf-8"?>
<formControlPr xmlns="http://schemas.microsoft.com/office/spreadsheetml/2009/9/main" objectType="Scroll" dx="22" fmlaLink="$C$19" horiz="1" max="100" page="5" val="100"/>
</file>

<file path=xl/ctrlProps/ctrlProp45.xml><?xml version="1.0" encoding="utf-8"?>
<formControlPr xmlns="http://schemas.microsoft.com/office/spreadsheetml/2009/9/main" objectType="Scroll" dx="22" fmlaLink="$C$20" horiz="1" max="100" page="5" val="100"/>
</file>

<file path=xl/ctrlProps/ctrlProp46.xml><?xml version="1.0" encoding="utf-8"?>
<formControlPr xmlns="http://schemas.microsoft.com/office/spreadsheetml/2009/9/main" objectType="Scroll" dx="22" fmlaLink="$C$21" horiz="1" max="100" page="5" val="100"/>
</file>

<file path=xl/ctrlProps/ctrlProp47.xml><?xml version="1.0" encoding="utf-8"?>
<formControlPr xmlns="http://schemas.microsoft.com/office/spreadsheetml/2009/9/main" objectType="Scroll" dx="22" fmlaLink="$C$22" horiz="1" max="100" page="5" val="100"/>
</file>

<file path=xl/ctrlProps/ctrlProp48.xml><?xml version="1.0" encoding="utf-8"?>
<formControlPr xmlns="http://schemas.microsoft.com/office/spreadsheetml/2009/9/main" objectType="Scroll" dx="22" fmlaLink="$C$23" horiz="1" max="100" page="5" val="100"/>
</file>

<file path=xl/ctrlProps/ctrlProp49.xml><?xml version="1.0" encoding="utf-8"?>
<formControlPr xmlns="http://schemas.microsoft.com/office/spreadsheetml/2009/9/main" objectType="Scroll" dx="22" fmlaLink="$C$24" horiz="1" max="100" page="5" val="100"/>
</file>

<file path=xl/ctrlProps/ctrlProp5.xml><?xml version="1.0" encoding="utf-8"?>
<formControlPr xmlns="http://schemas.microsoft.com/office/spreadsheetml/2009/9/main" objectType="Scroll" dx="22" fmlaLink="$C$13" horiz="1" max="24" page="5" val="0"/>
</file>

<file path=xl/ctrlProps/ctrlProp6.xml><?xml version="1.0" encoding="utf-8"?>
<formControlPr xmlns="http://schemas.microsoft.com/office/spreadsheetml/2009/9/main" objectType="Scroll" dx="22" fmlaLink="$C$14" horiz="1" inc="10" max="1440" page="60" val="0"/>
</file>

<file path=xl/ctrlProps/ctrlProp7.xml><?xml version="1.0" encoding="utf-8"?>
<formControlPr xmlns="http://schemas.microsoft.com/office/spreadsheetml/2009/9/main" objectType="Scroll" dx="22" fmlaLink="$C$15" horiz="1" inc="10" max="360" page="60" val="0"/>
</file>

<file path=xl/ctrlProps/ctrlProp8.xml><?xml version="1.0" encoding="utf-8"?>
<formControlPr xmlns="http://schemas.microsoft.com/office/spreadsheetml/2009/9/main" objectType="Scroll" dx="22" fmlaLink="$C$18" horiz="1" max="15" page="5" val="0"/>
</file>

<file path=xl/ctrlProps/ctrlProp9.xml><?xml version="1.0" encoding="utf-8"?>
<formControlPr xmlns="http://schemas.microsoft.com/office/spreadsheetml/2009/9/main" objectType="Scroll" dx="22" fmlaLink="$C$19" horiz="1" max="120" page="5"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30480</xdr:colOff>
          <xdr:row>3</xdr:row>
          <xdr:rowOff>38100</xdr:rowOff>
        </xdr:from>
        <xdr:to>
          <xdr:col>3</xdr:col>
          <xdr:colOff>1859280</xdr:colOff>
          <xdr:row>3</xdr:row>
          <xdr:rowOff>213360</xdr:rowOff>
        </xdr:to>
        <xdr:sp macro="" textlink="">
          <xdr:nvSpPr>
            <xdr:cNvPr id="9217" name="Scroll Bar 1" hidden="1">
              <a:extLst>
                <a:ext uri="{63B3BB69-23CF-44E3-9099-C40C66FF867C}">
                  <a14:compatExt spid="_x0000_s921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xdr:row>
          <xdr:rowOff>38100</xdr:rowOff>
        </xdr:from>
        <xdr:to>
          <xdr:col>3</xdr:col>
          <xdr:colOff>1859280</xdr:colOff>
          <xdr:row>4</xdr:row>
          <xdr:rowOff>213360</xdr:rowOff>
        </xdr:to>
        <xdr:sp macro="" textlink="">
          <xdr:nvSpPr>
            <xdr:cNvPr id="9219" name="Scroll Bar 3" hidden="1">
              <a:extLst>
                <a:ext uri="{63B3BB69-23CF-44E3-9099-C40C66FF867C}">
                  <a14:compatExt spid="_x0000_s921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8</xdr:row>
          <xdr:rowOff>38100</xdr:rowOff>
        </xdr:from>
        <xdr:to>
          <xdr:col>3</xdr:col>
          <xdr:colOff>1859280</xdr:colOff>
          <xdr:row>8</xdr:row>
          <xdr:rowOff>213360</xdr:rowOff>
        </xdr:to>
        <xdr:sp macro="" textlink="">
          <xdr:nvSpPr>
            <xdr:cNvPr id="9222" name="Scroll Bar 6" hidden="1">
              <a:extLst>
                <a:ext uri="{63B3BB69-23CF-44E3-9099-C40C66FF867C}">
                  <a14:compatExt spid="_x0000_s922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xdr:row>
          <xdr:rowOff>38100</xdr:rowOff>
        </xdr:from>
        <xdr:to>
          <xdr:col>3</xdr:col>
          <xdr:colOff>1859280</xdr:colOff>
          <xdr:row>9</xdr:row>
          <xdr:rowOff>213360</xdr:rowOff>
        </xdr:to>
        <xdr:sp macro="" textlink="">
          <xdr:nvSpPr>
            <xdr:cNvPr id="9223" name="Scroll Bar 7" hidden="1">
              <a:extLst>
                <a:ext uri="{63B3BB69-23CF-44E3-9099-C40C66FF867C}">
                  <a14:compatExt spid="_x0000_s922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12</xdr:row>
          <xdr:rowOff>38100</xdr:rowOff>
        </xdr:from>
        <xdr:to>
          <xdr:col>3</xdr:col>
          <xdr:colOff>1859280</xdr:colOff>
          <xdr:row>12</xdr:row>
          <xdr:rowOff>213360</xdr:rowOff>
        </xdr:to>
        <xdr:sp macro="" textlink="">
          <xdr:nvSpPr>
            <xdr:cNvPr id="9224" name="Scroll Bar 8" hidden="1">
              <a:extLst>
                <a:ext uri="{63B3BB69-23CF-44E3-9099-C40C66FF867C}">
                  <a14:compatExt spid="_x0000_s922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xdr:row>
          <xdr:rowOff>38100</xdr:rowOff>
        </xdr:from>
        <xdr:to>
          <xdr:col>3</xdr:col>
          <xdr:colOff>1859280</xdr:colOff>
          <xdr:row>13</xdr:row>
          <xdr:rowOff>213360</xdr:rowOff>
        </xdr:to>
        <xdr:sp macro="" textlink="">
          <xdr:nvSpPr>
            <xdr:cNvPr id="9225" name="Scroll Bar 9" hidden="1">
              <a:extLst>
                <a:ext uri="{63B3BB69-23CF-44E3-9099-C40C66FF867C}">
                  <a14:compatExt spid="_x0000_s922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14</xdr:row>
          <xdr:rowOff>38100</xdr:rowOff>
        </xdr:from>
        <xdr:to>
          <xdr:col>3</xdr:col>
          <xdr:colOff>1859280</xdr:colOff>
          <xdr:row>14</xdr:row>
          <xdr:rowOff>213360</xdr:rowOff>
        </xdr:to>
        <xdr:sp macro="" textlink="">
          <xdr:nvSpPr>
            <xdr:cNvPr id="9226" name="Scroll Bar 10" hidden="1">
              <a:extLst>
                <a:ext uri="{63B3BB69-23CF-44E3-9099-C40C66FF867C}">
                  <a14:compatExt spid="_x0000_s922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17</xdr:row>
          <xdr:rowOff>38100</xdr:rowOff>
        </xdr:from>
        <xdr:to>
          <xdr:col>3</xdr:col>
          <xdr:colOff>1859280</xdr:colOff>
          <xdr:row>17</xdr:row>
          <xdr:rowOff>213360</xdr:rowOff>
        </xdr:to>
        <xdr:sp macro="" textlink="">
          <xdr:nvSpPr>
            <xdr:cNvPr id="9227" name="Scroll Bar 11" hidden="1">
              <a:extLst>
                <a:ext uri="{63B3BB69-23CF-44E3-9099-C40C66FF867C}">
                  <a14:compatExt spid="_x0000_s922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18</xdr:row>
          <xdr:rowOff>38100</xdr:rowOff>
        </xdr:from>
        <xdr:to>
          <xdr:col>3</xdr:col>
          <xdr:colOff>1859280</xdr:colOff>
          <xdr:row>18</xdr:row>
          <xdr:rowOff>213360</xdr:rowOff>
        </xdr:to>
        <xdr:sp macro="" textlink="">
          <xdr:nvSpPr>
            <xdr:cNvPr id="9228" name="Scroll Bar 12" hidden="1">
              <a:extLst>
                <a:ext uri="{63B3BB69-23CF-44E3-9099-C40C66FF867C}">
                  <a14:compatExt spid="_x0000_s922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19</xdr:row>
          <xdr:rowOff>38100</xdr:rowOff>
        </xdr:from>
        <xdr:to>
          <xdr:col>3</xdr:col>
          <xdr:colOff>1859280</xdr:colOff>
          <xdr:row>19</xdr:row>
          <xdr:rowOff>213360</xdr:rowOff>
        </xdr:to>
        <xdr:sp macro="" textlink="">
          <xdr:nvSpPr>
            <xdr:cNvPr id="9229" name="Scroll Bar 13" hidden="1">
              <a:extLst>
                <a:ext uri="{63B3BB69-23CF-44E3-9099-C40C66FF867C}">
                  <a14:compatExt spid="_x0000_s922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22</xdr:row>
          <xdr:rowOff>38100</xdr:rowOff>
        </xdr:from>
        <xdr:to>
          <xdr:col>3</xdr:col>
          <xdr:colOff>1859280</xdr:colOff>
          <xdr:row>22</xdr:row>
          <xdr:rowOff>213360</xdr:rowOff>
        </xdr:to>
        <xdr:sp macro="" textlink="">
          <xdr:nvSpPr>
            <xdr:cNvPr id="9230" name="Scroll Bar 14" hidden="1">
              <a:extLst>
                <a:ext uri="{63B3BB69-23CF-44E3-9099-C40C66FF867C}">
                  <a14:compatExt spid="_x0000_s923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23</xdr:row>
          <xdr:rowOff>38100</xdr:rowOff>
        </xdr:from>
        <xdr:to>
          <xdr:col>3</xdr:col>
          <xdr:colOff>1859280</xdr:colOff>
          <xdr:row>23</xdr:row>
          <xdr:rowOff>213360</xdr:rowOff>
        </xdr:to>
        <xdr:sp macro="" textlink="">
          <xdr:nvSpPr>
            <xdr:cNvPr id="9231" name="Scroll Bar 15" hidden="1">
              <a:extLst>
                <a:ext uri="{63B3BB69-23CF-44E3-9099-C40C66FF867C}">
                  <a14:compatExt spid="_x0000_s923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26</xdr:row>
          <xdr:rowOff>38100</xdr:rowOff>
        </xdr:from>
        <xdr:to>
          <xdr:col>3</xdr:col>
          <xdr:colOff>1859280</xdr:colOff>
          <xdr:row>26</xdr:row>
          <xdr:rowOff>213360</xdr:rowOff>
        </xdr:to>
        <xdr:sp macro="" textlink="">
          <xdr:nvSpPr>
            <xdr:cNvPr id="9232" name="Scroll Bar 16" hidden="1">
              <a:extLst>
                <a:ext uri="{63B3BB69-23CF-44E3-9099-C40C66FF867C}">
                  <a14:compatExt spid="_x0000_s923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27</xdr:row>
          <xdr:rowOff>38100</xdr:rowOff>
        </xdr:from>
        <xdr:to>
          <xdr:col>3</xdr:col>
          <xdr:colOff>1859280</xdr:colOff>
          <xdr:row>27</xdr:row>
          <xdr:rowOff>213360</xdr:rowOff>
        </xdr:to>
        <xdr:sp macro="" textlink="">
          <xdr:nvSpPr>
            <xdr:cNvPr id="9233" name="Scroll Bar 17" hidden="1">
              <a:extLst>
                <a:ext uri="{63B3BB69-23CF-44E3-9099-C40C66FF867C}">
                  <a14:compatExt spid="_x0000_s923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30</xdr:row>
          <xdr:rowOff>38100</xdr:rowOff>
        </xdr:from>
        <xdr:to>
          <xdr:col>3</xdr:col>
          <xdr:colOff>1859280</xdr:colOff>
          <xdr:row>30</xdr:row>
          <xdr:rowOff>213360</xdr:rowOff>
        </xdr:to>
        <xdr:sp macro="" textlink="">
          <xdr:nvSpPr>
            <xdr:cNvPr id="9234" name="Scroll Bar 18" hidden="1">
              <a:extLst>
                <a:ext uri="{63B3BB69-23CF-44E3-9099-C40C66FF867C}">
                  <a14:compatExt spid="_x0000_s923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31</xdr:row>
          <xdr:rowOff>38100</xdr:rowOff>
        </xdr:from>
        <xdr:to>
          <xdr:col>3</xdr:col>
          <xdr:colOff>1859280</xdr:colOff>
          <xdr:row>31</xdr:row>
          <xdr:rowOff>213360</xdr:rowOff>
        </xdr:to>
        <xdr:sp macro="" textlink="">
          <xdr:nvSpPr>
            <xdr:cNvPr id="9235" name="Scroll Bar 19" hidden="1">
              <a:extLst>
                <a:ext uri="{63B3BB69-23CF-44E3-9099-C40C66FF867C}">
                  <a14:compatExt spid="_x0000_s923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32</xdr:row>
          <xdr:rowOff>38100</xdr:rowOff>
        </xdr:from>
        <xdr:to>
          <xdr:col>3</xdr:col>
          <xdr:colOff>1859280</xdr:colOff>
          <xdr:row>32</xdr:row>
          <xdr:rowOff>213360</xdr:rowOff>
        </xdr:to>
        <xdr:sp macro="" textlink="">
          <xdr:nvSpPr>
            <xdr:cNvPr id="9236" name="Scroll Bar 20" hidden="1">
              <a:extLst>
                <a:ext uri="{63B3BB69-23CF-44E3-9099-C40C66FF867C}">
                  <a14:compatExt spid="_x0000_s923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5</xdr:row>
          <xdr:rowOff>7620</xdr:rowOff>
        </xdr:from>
        <xdr:to>
          <xdr:col>3</xdr:col>
          <xdr:colOff>1874520</xdr:colOff>
          <xdr:row>5</xdr:row>
          <xdr:rowOff>228600</xdr:rowOff>
        </xdr:to>
        <xdr:sp macro="" textlink="">
          <xdr:nvSpPr>
            <xdr:cNvPr id="9237" name="Drop Down 21" hidden="1">
              <a:extLst>
                <a:ext uri="{63B3BB69-23CF-44E3-9099-C40C66FF867C}">
                  <a14:compatExt spid="_x0000_s92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6</xdr:row>
          <xdr:rowOff>7620</xdr:rowOff>
        </xdr:from>
        <xdr:to>
          <xdr:col>3</xdr:col>
          <xdr:colOff>1874520</xdr:colOff>
          <xdr:row>6</xdr:row>
          <xdr:rowOff>228600</xdr:rowOff>
        </xdr:to>
        <xdr:sp macro="" textlink="">
          <xdr:nvSpPr>
            <xdr:cNvPr id="9238" name="Drop Down 22" hidden="1">
              <a:extLst>
                <a:ext uri="{63B3BB69-23CF-44E3-9099-C40C66FF867C}">
                  <a14:compatExt spid="_x0000_s92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236220</xdr:colOff>
          <xdr:row>4</xdr:row>
          <xdr:rowOff>30480</xdr:rowOff>
        </xdr:from>
        <xdr:to>
          <xdr:col>6</xdr:col>
          <xdr:colOff>541020</xdr:colOff>
          <xdr:row>5</xdr:row>
          <xdr:rowOff>0</xdr:rowOff>
        </xdr:to>
        <xdr:sp macro="" textlink="">
          <xdr:nvSpPr>
            <xdr:cNvPr id="9239" name="Check Box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236220</xdr:colOff>
          <xdr:row>5</xdr:row>
          <xdr:rowOff>30480</xdr:rowOff>
        </xdr:from>
        <xdr:to>
          <xdr:col>6</xdr:col>
          <xdr:colOff>541020</xdr:colOff>
          <xdr:row>6</xdr:row>
          <xdr:rowOff>0</xdr:rowOff>
        </xdr:to>
        <xdr:sp macro="" textlink="">
          <xdr:nvSpPr>
            <xdr:cNvPr id="9245" name="Check Box 29" hidden="1">
              <a:extLst>
                <a:ext uri="{63B3BB69-23CF-44E3-9099-C40C66FF867C}">
                  <a14:compatExt spid="_x0000_s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236220</xdr:colOff>
          <xdr:row>6</xdr:row>
          <xdr:rowOff>30480</xdr:rowOff>
        </xdr:from>
        <xdr:to>
          <xdr:col>6</xdr:col>
          <xdr:colOff>541020</xdr:colOff>
          <xdr:row>7</xdr:row>
          <xdr:rowOff>0</xdr:rowOff>
        </xdr:to>
        <xdr:sp macro="" textlink="">
          <xdr:nvSpPr>
            <xdr:cNvPr id="9246" name="Check Box 30" hidden="1">
              <a:extLst>
                <a:ext uri="{63B3BB69-23CF-44E3-9099-C40C66FF867C}">
                  <a14:compatExt spid="_x0000_s9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236220</xdr:colOff>
          <xdr:row>7</xdr:row>
          <xdr:rowOff>30480</xdr:rowOff>
        </xdr:from>
        <xdr:to>
          <xdr:col>6</xdr:col>
          <xdr:colOff>541020</xdr:colOff>
          <xdr:row>8</xdr:row>
          <xdr:rowOff>0</xdr:rowOff>
        </xdr:to>
        <xdr:sp macro="" textlink="">
          <xdr:nvSpPr>
            <xdr:cNvPr id="9247" name="Check Box 31" hidden="1">
              <a:extLst>
                <a:ext uri="{63B3BB69-23CF-44E3-9099-C40C66FF867C}">
                  <a14:compatExt spid="_x0000_s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236220</xdr:colOff>
          <xdr:row>8</xdr:row>
          <xdr:rowOff>30480</xdr:rowOff>
        </xdr:from>
        <xdr:to>
          <xdr:col>6</xdr:col>
          <xdr:colOff>541020</xdr:colOff>
          <xdr:row>9</xdr:row>
          <xdr:rowOff>0</xdr:rowOff>
        </xdr:to>
        <xdr:sp macro="" textlink="">
          <xdr:nvSpPr>
            <xdr:cNvPr id="9248" name="Check Box 32" hidden="1">
              <a:extLst>
                <a:ext uri="{63B3BB69-23CF-44E3-9099-C40C66FF867C}">
                  <a14:compatExt spid="_x0000_s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12</xdr:row>
          <xdr:rowOff>38100</xdr:rowOff>
        </xdr:from>
        <xdr:to>
          <xdr:col>7</xdr:col>
          <xdr:colOff>1859280</xdr:colOff>
          <xdr:row>12</xdr:row>
          <xdr:rowOff>213360</xdr:rowOff>
        </xdr:to>
        <xdr:sp macro="" textlink="">
          <xdr:nvSpPr>
            <xdr:cNvPr id="9249" name="Scroll Bar 33" hidden="1">
              <a:extLst>
                <a:ext uri="{63B3BB69-23CF-44E3-9099-C40C66FF867C}">
                  <a14:compatExt spid="_x0000_s924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15</xdr:row>
          <xdr:rowOff>38100</xdr:rowOff>
        </xdr:from>
        <xdr:to>
          <xdr:col>7</xdr:col>
          <xdr:colOff>1859280</xdr:colOff>
          <xdr:row>15</xdr:row>
          <xdr:rowOff>213360</xdr:rowOff>
        </xdr:to>
        <xdr:sp macro="" textlink="">
          <xdr:nvSpPr>
            <xdr:cNvPr id="9251" name="Scroll Bar 35" hidden="1">
              <a:extLst>
                <a:ext uri="{63B3BB69-23CF-44E3-9099-C40C66FF867C}">
                  <a14:compatExt spid="_x0000_s925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16</xdr:row>
          <xdr:rowOff>38100</xdr:rowOff>
        </xdr:from>
        <xdr:to>
          <xdr:col>7</xdr:col>
          <xdr:colOff>1859280</xdr:colOff>
          <xdr:row>16</xdr:row>
          <xdr:rowOff>213360</xdr:rowOff>
        </xdr:to>
        <xdr:sp macro="" textlink="">
          <xdr:nvSpPr>
            <xdr:cNvPr id="9252" name="Scroll Bar 36" hidden="1">
              <a:extLst>
                <a:ext uri="{63B3BB69-23CF-44E3-9099-C40C66FF867C}">
                  <a14:compatExt spid="_x0000_s925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19</xdr:row>
          <xdr:rowOff>38100</xdr:rowOff>
        </xdr:from>
        <xdr:to>
          <xdr:col>7</xdr:col>
          <xdr:colOff>1859280</xdr:colOff>
          <xdr:row>19</xdr:row>
          <xdr:rowOff>213360</xdr:rowOff>
        </xdr:to>
        <xdr:sp macro="" textlink="">
          <xdr:nvSpPr>
            <xdr:cNvPr id="9254" name="Scroll Bar 38" hidden="1">
              <a:extLst>
                <a:ext uri="{63B3BB69-23CF-44E3-9099-C40C66FF867C}">
                  <a14:compatExt spid="_x0000_s925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21</xdr:row>
          <xdr:rowOff>38100</xdr:rowOff>
        </xdr:from>
        <xdr:to>
          <xdr:col>7</xdr:col>
          <xdr:colOff>1859280</xdr:colOff>
          <xdr:row>21</xdr:row>
          <xdr:rowOff>213360</xdr:rowOff>
        </xdr:to>
        <xdr:sp macro="" textlink="">
          <xdr:nvSpPr>
            <xdr:cNvPr id="9256" name="Scroll Bar 40" hidden="1">
              <a:extLst>
                <a:ext uri="{63B3BB69-23CF-44E3-9099-C40C66FF867C}">
                  <a14:compatExt spid="_x0000_s925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236220</xdr:colOff>
          <xdr:row>23</xdr:row>
          <xdr:rowOff>30480</xdr:rowOff>
        </xdr:from>
        <xdr:to>
          <xdr:col>6</xdr:col>
          <xdr:colOff>746760</xdr:colOff>
          <xdr:row>24</xdr:row>
          <xdr:rowOff>0</xdr:rowOff>
        </xdr:to>
        <xdr:sp macro="" textlink="">
          <xdr:nvSpPr>
            <xdr:cNvPr id="9257" name="Check Box 41" descr="yes" hidden="1">
              <a:extLst>
                <a:ext uri="{63B3BB69-23CF-44E3-9099-C40C66FF867C}">
                  <a14:compatExt spid="_x0000_s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236220</xdr:colOff>
          <xdr:row>25</xdr:row>
          <xdr:rowOff>30480</xdr:rowOff>
        </xdr:from>
        <xdr:to>
          <xdr:col>7</xdr:col>
          <xdr:colOff>0</xdr:colOff>
          <xdr:row>26</xdr:row>
          <xdr:rowOff>0</xdr:rowOff>
        </xdr:to>
        <xdr:sp macro="" textlink="">
          <xdr:nvSpPr>
            <xdr:cNvPr id="9258" name="Check Box 42" descr="yes" hidden="1">
              <a:extLst>
                <a:ext uri="{63B3BB69-23CF-44E3-9099-C40C66FF867C}">
                  <a14:compatExt spid="_x0000_s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236220</xdr:colOff>
          <xdr:row>26</xdr:row>
          <xdr:rowOff>30480</xdr:rowOff>
        </xdr:from>
        <xdr:to>
          <xdr:col>7</xdr:col>
          <xdr:colOff>0</xdr:colOff>
          <xdr:row>27</xdr:row>
          <xdr:rowOff>0</xdr:rowOff>
        </xdr:to>
        <xdr:sp macro="" textlink="">
          <xdr:nvSpPr>
            <xdr:cNvPr id="9259" name="Check Box 43" descr="yes" hidden="1">
              <a:extLst>
                <a:ext uri="{63B3BB69-23CF-44E3-9099-C40C66FF867C}">
                  <a14:compatExt spid="_x0000_s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236220</xdr:colOff>
          <xdr:row>27</xdr:row>
          <xdr:rowOff>30480</xdr:rowOff>
        </xdr:from>
        <xdr:to>
          <xdr:col>7</xdr:col>
          <xdr:colOff>0</xdr:colOff>
          <xdr:row>28</xdr:row>
          <xdr:rowOff>0</xdr:rowOff>
        </xdr:to>
        <xdr:sp macro="" textlink="">
          <xdr:nvSpPr>
            <xdr:cNvPr id="9260" name="Check Box 44" descr="yes" hidden="1">
              <a:extLst>
                <a:ext uri="{63B3BB69-23CF-44E3-9099-C40C66FF867C}">
                  <a14:compatExt spid="_x0000_s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45720</xdr:rowOff>
        </xdr:from>
        <xdr:to>
          <xdr:col>3</xdr:col>
          <xdr:colOff>1866900</xdr:colOff>
          <xdr:row>4</xdr:row>
          <xdr:rowOff>220980</xdr:rowOff>
        </xdr:to>
        <xdr:sp macro="" textlink="">
          <xdr:nvSpPr>
            <xdr:cNvPr id="7169" name="Scroll Bar 1" hidden="1">
              <a:extLst>
                <a:ext uri="{63B3BB69-23CF-44E3-9099-C40C66FF867C}">
                  <a14:compatExt spid="_x0000_s716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5</xdr:row>
          <xdr:rowOff>45720</xdr:rowOff>
        </xdr:from>
        <xdr:to>
          <xdr:col>3</xdr:col>
          <xdr:colOff>1859280</xdr:colOff>
          <xdr:row>5</xdr:row>
          <xdr:rowOff>220980</xdr:rowOff>
        </xdr:to>
        <xdr:sp macro="" textlink="">
          <xdr:nvSpPr>
            <xdr:cNvPr id="7170" name="Scroll Bar 2" hidden="1">
              <a:extLst>
                <a:ext uri="{63B3BB69-23CF-44E3-9099-C40C66FF867C}">
                  <a14:compatExt spid="_x0000_s717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xdr:row>
          <xdr:rowOff>30480</xdr:rowOff>
        </xdr:from>
        <xdr:to>
          <xdr:col>3</xdr:col>
          <xdr:colOff>1859280</xdr:colOff>
          <xdr:row>6</xdr:row>
          <xdr:rowOff>198120</xdr:rowOff>
        </xdr:to>
        <xdr:sp macro="" textlink="">
          <xdr:nvSpPr>
            <xdr:cNvPr id="7171" name="Scroll Bar 3" hidden="1">
              <a:extLst>
                <a:ext uri="{63B3BB69-23CF-44E3-9099-C40C66FF867C}">
                  <a14:compatExt spid="_x0000_s717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7</xdr:row>
          <xdr:rowOff>38100</xdr:rowOff>
        </xdr:from>
        <xdr:to>
          <xdr:col>3</xdr:col>
          <xdr:colOff>1859280</xdr:colOff>
          <xdr:row>7</xdr:row>
          <xdr:rowOff>213360</xdr:rowOff>
        </xdr:to>
        <xdr:sp macro="" textlink="">
          <xdr:nvSpPr>
            <xdr:cNvPr id="7172" name="Scroll Bar 4" hidden="1">
              <a:extLst>
                <a:ext uri="{63B3BB69-23CF-44E3-9099-C40C66FF867C}">
                  <a14:compatExt spid="_x0000_s717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8</xdr:row>
          <xdr:rowOff>38100</xdr:rowOff>
        </xdr:from>
        <xdr:to>
          <xdr:col>3</xdr:col>
          <xdr:colOff>1859280</xdr:colOff>
          <xdr:row>8</xdr:row>
          <xdr:rowOff>213360</xdr:rowOff>
        </xdr:to>
        <xdr:sp macro="" textlink="">
          <xdr:nvSpPr>
            <xdr:cNvPr id="7173" name="Scroll Bar 5" hidden="1">
              <a:extLst>
                <a:ext uri="{63B3BB69-23CF-44E3-9099-C40C66FF867C}">
                  <a14:compatExt spid="_x0000_s717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xdr:row>
          <xdr:rowOff>45720</xdr:rowOff>
        </xdr:from>
        <xdr:to>
          <xdr:col>3</xdr:col>
          <xdr:colOff>1859280</xdr:colOff>
          <xdr:row>9</xdr:row>
          <xdr:rowOff>220980</xdr:rowOff>
        </xdr:to>
        <xdr:sp macro="" textlink="">
          <xdr:nvSpPr>
            <xdr:cNvPr id="7174" name="Scroll Bar 6" hidden="1">
              <a:extLst>
                <a:ext uri="{63B3BB69-23CF-44E3-9099-C40C66FF867C}">
                  <a14:compatExt spid="_x0000_s717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10</xdr:row>
          <xdr:rowOff>45720</xdr:rowOff>
        </xdr:from>
        <xdr:to>
          <xdr:col>3</xdr:col>
          <xdr:colOff>1859280</xdr:colOff>
          <xdr:row>10</xdr:row>
          <xdr:rowOff>220980</xdr:rowOff>
        </xdr:to>
        <xdr:sp macro="" textlink="">
          <xdr:nvSpPr>
            <xdr:cNvPr id="7175" name="Scroll Bar 7" hidden="1">
              <a:extLst>
                <a:ext uri="{63B3BB69-23CF-44E3-9099-C40C66FF867C}">
                  <a14:compatExt spid="_x0000_s717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11</xdr:row>
          <xdr:rowOff>30480</xdr:rowOff>
        </xdr:from>
        <xdr:to>
          <xdr:col>3</xdr:col>
          <xdr:colOff>1859280</xdr:colOff>
          <xdr:row>11</xdr:row>
          <xdr:rowOff>198120</xdr:rowOff>
        </xdr:to>
        <xdr:sp macro="" textlink="">
          <xdr:nvSpPr>
            <xdr:cNvPr id="7176" name="Scroll Bar 8" hidden="1">
              <a:extLst>
                <a:ext uri="{63B3BB69-23CF-44E3-9099-C40C66FF867C}">
                  <a14:compatExt spid="_x0000_s717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16</xdr:row>
          <xdr:rowOff>30480</xdr:rowOff>
        </xdr:from>
        <xdr:to>
          <xdr:col>3</xdr:col>
          <xdr:colOff>1859280</xdr:colOff>
          <xdr:row>16</xdr:row>
          <xdr:rowOff>198120</xdr:rowOff>
        </xdr:to>
        <xdr:sp macro="" textlink="">
          <xdr:nvSpPr>
            <xdr:cNvPr id="7177" name="Scroll Bar 9" hidden="1">
              <a:extLst>
                <a:ext uri="{63B3BB69-23CF-44E3-9099-C40C66FF867C}">
                  <a14:compatExt spid="_x0000_s717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7620</xdr:rowOff>
        </xdr:from>
        <xdr:to>
          <xdr:col>3</xdr:col>
          <xdr:colOff>1866900</xdr:colOff>
          <xdr:row>17</xdr:row>
          <xdr:rowOff>182880</xdr:rowOff>
        </xdr:to>
        <xdr:sp macro="" textlink="">
          <xdr:nvSpPr>
            <xdr:cNvPr id="7178" name="Scroll Bar 10" hidden="1">
              <a:extLst>
                <a:ext uri="{63B3BB69-23CF-44E3-9099-C40C66FF867C}">
                  <a14:compatExt spid="_x0000_s717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18</xdr:row>
          <xdr:rowOff>30480</xdr:rowOff>
        </xdr:from>
        <xdr:to>
          <xdr:col>3</xdr:col>
          <xdr:colOff>1859280</xdr:colOff>
          <xdr:row>18</xdr:row>
          <xdr:rowOff>198120</xdr:rowOff>
        </xdr:to>
        <xdr:sp macro="" textlink="">
          <xdr:nvSpPr>
            <xdr:cNvPr id="7179" name="Scroll Bar 11" hidden="1">
              <a:extLst>
                <a:ext uri="{63B3BB69-23CF-44E3-9099-C40C66FF867C}">
                  <a14:compatExt spid="_x0000_s717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19</xdr:row>
          <xdr:rowOff>30480</xdr:rowOff>
        </xdr:from>
        <xdr:to>
          <xdr:col>3</xdr:col>
          <xdr:colOff>1859280</xdr:colOff>
          <xdr:row>19</xdr:row>
          <xdr:rowOff>198120</xdr:rowOff>
        </xdr:to>
        <xdr:sp macro="" textlink="">
          <xdr:nvSpPr>
            <xdr:cNvPr id="7180" name="Scroll Bar 12" hidden="1">
              <a:extLst>
                <a:ext uri="{63B3BB69-23CF-44E3-9099-C40C66FF867C}">
                  <a14:compatExt spid="_x0000_s718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20</xdr:row>
          <xdr:rowOff>30480</xdr:rowOff>
        </xdr:from>
        <xdr:to>
          <xdr:col>3</xdr:col>
          <xdr:colOff>1859280</xdr:colOff>
          <xdr:row>20</xdr:row>
          <xdr:rowOff>198120</xdr:rowOff>
        </xdr:to>
        <xdr:sp macro="" textlink="">
          <xdr:nvSpPr>
            <xdr:cNvPr id="7181" name="Scroll Bar 13" hidden="1">
              <a:extLst>
                <a:ext uri="{63B3BB69-23CF-44E3-9099-C40C66FF867C}">
                  <a14:compatExt spid="_x0000_s718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21</xdr:row>
          <xdr:rowOff>30480</xdr:rowOff>
        </xdr:from>
        <xdr:to>
          <xdr:col>3</xdr:col>
          <xdr:colOff>1859280</xdr:colOff>
          <xdr:row>21</xdr:row>
          <xdr:rowOff>198120</xdr:rowOff>
        </xdr:to>
        <xdr:sp macro="" textlink="">
          <xdr:nvSpPr>
            <xdr:cNvPr id="7182" name="Scroll Bar 14" hidden="1">
              <a:extLst>
                <a:ext uri="{63B3BB69-23CF-44E3-9099-C40C66FF867C}">
                  <a14:compatExt spid="_x0000_s718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22</xdr:row>
          <xdr:rowOff>30480</xdr:rowOff>
        </xdr:from>
        <xdr:to>
          <xdr:col>3</xdr:col>
          <xdr:colOff>1859280</xdr:colOff>
          <xdr:row>22</xdr:row>
          <xdr:rowOff>198120</xdr:rowOff>
        </xdr:to>
        <xdr:sp macro="" textlink="">
          <xdr:nvSpPr>
            <xdr:cNvPr id="7183" name="Scroll Bar 15" hidden="1">
              <a:extLst>
                <a:ext uri="{63B3BB69-23CF-44E3-9099-C40C66FF867C}">
                  <a14:compatExt spid="_x0000_s718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23</xdr:row>
          <xdr:rowOff>30480</xdr:rowOff>
        </xdr:from>
        <xdr:to>
          <xdr:col>3</xdr:col>
          <xdr:colOff>1859280</xdr:colOff>
          <xdr:row>23</xdr:row>
          <xdr:rowOff>198120</xdr:rowOff>
        </xdr:to>
        <xdr:sp macro="" textlink="">
          <xdr:nvSpPr>
            <xdr:cNvPr id="7184" name="Scroll Bar 16" hidden="1">
              <a:extLst>
                <a:ext uri="{63B3BB69-23CF-44E3-9099-C40C66FF867C}">
                  <a14:compatExt spid="_x0000_s7184"/>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9.xml"/><Relationship Id="rId13" Type="http://schemas.openxmlformats.org/officeDocument/2006/relationships/ctrlProp" Target="../ctrlProps/ctrlProp44.xml"/><Relationship Id="rId18" Type="http://schemas.openxmlformats.org/officeDocument/2006/relationships/ctrlProp" Target="../ctrlProps/ctrlProp49.xml"/><Relationship Id="rId3" Type="http://schemas.openxmlformats.org/officeDocument/2006/relationships/ctrlProp" Target="../ctrlProps/ctrlProp34.xml"/><Relationship Id="rId7" Type="http://schemas.openxmlformats.org/officeDocument/2006/relationships/ctrlProp" Target="../ctrlProps/ctrlProp38.xml"/><Relationship Id="rId12" Type="http://schemas.openxmlformats.org/officeDocument/2006/relationships/ctrlProp" Target="../ctrlProps/ctrlProp43.xml"/><Relationship Id="rId17" Type="http://schemas.openxmlformats.org/officeDocument/2006/relationships/ctrlProp" Target="../ctrlProps/ctrlProp48.xml"/><Relationship Id="rId2" Type="http://schemas.openxmlformats.org/officeDocument/2006/relationships/vmlDrawing" Target="../drawings/vmlDrawing2.vml"/><Relationship Id="rId16" Type="http://schemas.openxmlformats.org/officeDocument/2006/relationships/ctrlProp" Target="../ctrlProps/ctrlProp47.xml"/><Relationship Id="rId1" Type="http://schemas.openxmlformats.org/officeDocument/2006/relationships/drawing" Target="../drawings/drawing2.xml"/><Relationship Id="rId6" Type="http://schemas.openxmlformats.org/officeDocument/2006/relationships/ctrlProp" Target="../ctrlProps/ctrlProp37.xml"/><Relationship Id="rId11" Type="http://schemas.openxmlformats.org/officeDocument/2006/relationships/ctrlProp" Target="../ctrlProps/ctrlProp42.xml"/><Relationship Id="rId5" Type="http://schemas.openxmlformats.org/officeDocument/2006/relationships/ctrlProp" Target="../ctrlProps/ctrlProp36.xml"/><Relationship Id="rId15" Type="http://schemas.openxmlformats.org/officeDocument/2006/relationships/ctrlProp" Target="../ctrlProps/ctrlProp46.xml"/><Relationship Id="rId10" Type="http://schemas.openxmlformats.org/officeDocument/2006/relationships/ctrlProp" Target="../ctrlProps/ctrlProp41.xml"/><Relationship Id="rId4" Type="http://schemas.openxmlformats.org/officeDocument/2006/relationships/ctrlProp" Target="../ctrlProps/ctrlProp35.xml"/><Relationship Id="rId9" Type="http://schemas.openxmlformats.org/officeDocument/2006/relationships/ctrlProp" Target="../ctrlProps/ctrlProp40.xml"/><Relationship Id="rId14" Type="http://schemas.openxmlformats.org/officeDocument/2006/relationships/ctrlProp" Target="../ctrlProps/ctrlProp4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5"/>
  <sheetViews>
    <sheetView workbookViewId="0"/>
  </sheetViews>
  <sheetFormatPr defaultColWidth="9.109375" defaultRowHeight="13.8" x14ac:dyDescent="0.25"/>
  <cols>
    <col min="1" max="1" width="5.6640625" style="2" customWidth="1"/>
    <col min="2" max="2" width="157.44140625" style="2" customWidth="1"/>
    <col min="3" max="16384" width="9.109375" style="2"/>
  </cols>
  <sheetData>
    <row r="1" spans="2:2" ht="24.9" customHeight="1" x14ac:dyDescent="0.25"/>
    <row r="2" spans="2:2" ht="74.25" customHeight="1" x14ac:dyDescent="0.25">
      <c r="B2" s="4" t="s">
        <v>5</v>
      </c>
    </row>
    <row r="3" spans="2:2" ht="108.75" customHeight="1" x14ac:dyDescent="0.25">
      <c r="B3" s="5" t="s">
        <v>231</v>
      </c>
    </row>
    <row r="5" spans="2:2" ht="24.9" customHeight="1" x14ac:dyDescent="0.25">
      <c r="B5" s="6" t="s">
        <v>6</v>
      </c>
    </row>
    <row r="6" spans="2:2" ht="81" customHeight="1" x14ac:dyDescent="0.25">
      <c r="B6" s="7" t="s">
        <v>10</v>
      </c>
    </row>
    <row r="8" spans="2:2" ht="24.9" customHeight="1" x14ac:dyDescent="0.25">
      <c r="B8" s="6" t="s">
        <v>7</v>
      </c>
    </row>
    <row r="9" spans="2:2" ht="53.25" customHeight="1" x14ac:dyDescent="0.25">
      <c r="B9" s="8" t="s">
        <v>11</v>
      </c>
    </row>
    <row r="11" spans="2:2" ht="24.9" customHeight="1" x14ac:dyDescent="0.25">
      <c r="B11" s="6" t="s">
        <v>8</v>
      </c>
    </row>
    <row r="12" spans="2:2" ht="34.5" customHeight="1" x14ac:dyDescent="0.25">
      <c r="B12" s="8" t="s">
        <v>12</v>
      </c>
    </row>
    <row r="14" spans="2:2" ht="24.9" customHeight="1" x14ac:dyDescent="0.25">
      <c r="B14" s="6" t="s">
        <v>9</v>
      </c>
    </row>
    <row r="15" spans="2:2" ht="61.2" customHeight="1" x14ac:dyDescent="0.25">
      <c r="B15" s="7" t="s">
        <v>198</v>
      </c>
    </row>
  </sheetData>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5"/>
  <sheetViews>
    <sheetView workbookViewId="0"/>
  </sheetViews>
  <sheetFormatPr defaultColWidth="9.109375" defaultRowHeight="13.8" x14ac:dyDescent="0.25"/>
  <cols>
    <col min="1" max="1" width="5.6640625" style="2" customWidth="1"/>
    <col min="2" max="2" width="114" style="2" customWidth="1"/>
    <col min="3" max="16384" width="9.109375" style="2"/>
  </cols>
  <sheetData>
    <row r="1" spans="2:12" s="1" customFormat="1" ht="24.9" customHeight="1" x14ac:dyDescent="0.4">
      <c r="B1" s="3" t="s">
        <v>1</v>
      </c>
    </row>
    <row r="2" spans="2:12" ht="24.9" customHeight="1" x14ac:dyDescent="0.25"/>
    <row r="3" spans="2:12" ht="35.25" customHeight="1" x14ac:dyDescent="0.25">
      <c r="B3" s="9" t="s">
        <v>221</v>
      </c>
    </row>
    <row r="5" spans="2:12" ht="15.6" x14ac:dyDescent="0.25">
      <c r="B5" s="6" t="s">
        <v>222</v>
      </c>
    </row>
    <row r="6" spans="2:12" ht="151.80000000000001" x14ac:dyDescent="0.25">
      <c r="B6" s="7" t="s">
        <v>229</v>
      </c>
    </row>
    <row r="8" spans="2:12" ht="15.6" x14ac:dyDescent="0.25">
      <c r="B8" s="6" t="s">
        <v>223</v>
      </c>
    </row>
    <row r="9" spans="2:12" ht="69" x14ac:dyDescent="0.25">
      <c r="B9" s="7" t="s">
        <v>224</v>
      </c>
    </row>
    <row r="10" spans="2:12" x14ac:dyDescent="0.25">
      <c r="D10" s="54"/>
      <c r="E10" s="54"/>
      <c r="F10" s="54"/>
      <c r="G10" s="54"/>
      <c r="H10" s="54"/>
      <c r="I10" s="54"/>
      <c r="J10" s="54"/>
      <c r="K10" s="54"/>
      <c r="L10" s="54"/>
    </row>
    <row r="11" spans="2:12" ht="15.6" x14ac:dyDescent="0.25">
      <c r="B11" s="6" t="s">
        <v>225</v>
      </c>
    </row>
    <row r="12" spans="2:12" ht="27.6" x14ac:dyDescent="0.25">
      <c r="B12" s="7" t="s">
        <v>226</v>
      </c>
    </row>
    <row r="14" spans="2:12" ht="15.6" x14ac:dyDescent="0.25">
      <c r="B14" s="6" t="s">
        <v>227</v>
      </c>
    </row>
    <row r="15" spans="2:12" ht="41.4" x14ac:dyDescent="0.25">
      <c r="B15" s="7" t="s">
        <v>228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78"/>
  <sheetViews>
    <sheetView tabSelected="1" workbookViewId="0">
      <selection activeCell="C4" sqref="C4"/>
    </sheetView>
  </sheetViews>
  <sheetFormatPr defaultColWidth="9.109375" defaultRowHeight="13.8" x14ac:dyDescent="0.25"/>
  <cols>
    <col min="1" max="1" width="5.6640625" style="2" customWidth="1"/>
    <col min="2" max="2" width="51.109375" style="2" bestFit="1" customWidth="1"/>
    <col min="3" max="3" width="9.109375" style="2"/>
    <col min="4" max="4" width="28.44140625" style="2" customWidth="1"/>
    <col min="5" max="5" width="9.109375" style="2"/>
    <col min="6" max="6" width="43.33203125" style="2" bestFit="1" customWidth="1"/>
    <col min="7" max="7" width="11.109375" style="2" customWidth="1"/>
    <col min="8" max="8" width="28.33203125" style="2" customWidth="1"/>
    <col min="9" max="9" width="16.44140625" style="57" bestFit="1" customWidth="1"/>
    <col min="10" max="18" width="9.109375" style="57"/>
    <col min="19" max="19" width="14.5546875" style="57" bestFit="1" customWidth="1"/>
    <col min="20" max="28" width="9.109375" style="57"/>
    <col min="29" max="16384" width="9.109375" style="2"/>
  </cols>
  <sheetData>
    <row r="1" spans="2:28" s="1" customFormat="1" ht="24.9" customHeight="1" x14ac:dyDescent="0.4">
      <c r="B1" s="3" t="s">
        <v>67</v>
      </c>
      <c r="H1" s="59"/>
      <c r="I1" s="59"/>
      <c r="J1" s="59"/>
      <c r="K1" s="56"/>
      <c r="L1" s="56"/>
      <c r="M1" s="56"/>
      <c r="N1" s="56"/>
      <c r="O1" s="56"/>
      <c r="P1" s="56"/>
      <c r="Q1" s="56"/>
      <c r="R1" s="56"/>
      <c r="S1" s="56"/>
      <c r="T1" s="56"/>
      <c r="U1" s="56"/>
      <c r="V1" s="56"/>
      <c r="W1" s="56"/>
      <c r="X1" s="56"/>
      <c r="Y1" s="56"/>
      <c r="Z1" s="56"/>
      <c r="AA1" s="56"/>
      <c r="AB1" s="56"/>
    </row>
    <row r="2" spans="2:28" s="10" customFormat="1" ht="13.2" x14ac:dyDescent="0.25">
      <c r="H2" s="46"/>
      <c r="I2" s="46"/>
      <c r="J2" s="46"/>
      <c r="K2" s="55"/>
      <c r="L2" s="55"/>
      <c r="M2" s="55"/>
      <c r="N2" s="55"/>
      <c r="O2" s="55"/>
      <c r="P2" s="55"/>
      <c r="Q2" s="55"/>
      <c r="R2" s="55"/>
      <c r="S2" s="55"/>
      <c r="T2" s="55"/>
      <c r="U2" s="55"/>
      <c r="V2" s="55"/>
      <c r="W2" s="55"/>
      <c r="X2" s="55"/>
      <c r="Y2" s="55"/>
      <c r="Z2" s="55"/>
      <c r="AA2" s="55"/>
      <c r="AB2" s="55"/>
    </row>
    <row r="3" spans="2:28" s="10" customFormat="1" ht="15.6" x14ac:dyDescent="0.3">
      <c r="B3" s="22" t="s">
        <v>2</v>
      </c>
      <c r="F3" s="22" t="s">
        <v>3</v>
      </c>
      <c r="H3" s="46"/>
      <c r="I3" s="46"/>
      <c r="J3" s="46"/>
      <c r="K3" s="55"/>
      <c r="L3" s="55"/>
      <c r="M3" s="55"/>
      <c r="N3" s="55"/>
      <c r="O3" s="55"/>
      <c r="P3" s="55"/>
      <c r="Q3" s="55"/>
      <c r="R3" s="55"/>
      <c r="S3" s="55"/>
      <c r="T3" s="55"/>
      <c r="U3" s="55"/>
      <c r="V3" s="55"/>
      <c r="W3" s="55"/>
      <c r="X3" s="55"/>
      <c r="Y3" s="55"/>
      <c r="Z3" s="55"/>
      <c r="AA3" s="55"/>
      <c r="AB3" s="55"/>
    </row>
    <row r="4" spans="2:28" s="10" customFormat="1" ht="20.100000000000001" customHeight="1" x14ac:dyDescent="0.25">
      <c r="B4" s="19" t="s">
        <v>101</v>
      </c>
      <c r="C4" s="20">
        <v>150</v>
      </c>
      <c r="D4" s="21"/>
      <c r="E4" s="23"/>
      <c r="F4" s="14" t="s">
        <v>35</v>
      </c>
      <c r="G4" s="12"/>
      <c r="H4" s="46"/>
      <c r="I4" s="46"/>
      <c r="J4" s="46"/>
      <c r="K4" s="55"/>
      <c r="L4" s="55"/>
      <c r="M4" s="55"/>
      <c r="N4" s="55"/>
      <c r="O4" s="55"/>
      <c r="P4" s="55"/>
      <c r="Q4" s="55"/>
      <c r="R4" s="55"/>
      <c r="S4" s="55"/>
      <c r="T4" s="55"/>
      <c r="U4" s="55"/>
      <c r="V4" s="55"/>
      <c r="W4" s="55"/>
      <c r="X4" s="55"/>
      <c r="Y4" s="55"/>
      <c r="Z4" s="55"/>
      <c r="AA4" s="55"/>
      <c r="AB4" s="55"/>
    </row>
    <row r="5" spans="2:28" s="10" customFormat="1" ht="20.100000000000001" customHeight="1" x14ac:dyDescent="0.25">
      <c r="B5" s="19" t="s">
        <v>14</v>
      </c>
      <c r="C5" s="20">
        <v>6</v>
      </c>
      <c r="D5" s="21"/>
      <c r="E5" s="23"/>
      <c r="F5" s="19" t="s">
        <v>36</v>
      </c>
      <c r="G5" s="19"/>
      <c r="H5" s="60" t="b">
        <v>1</v>
      </c>
      <c r="I5" s="46">
        <f>IF(H5=TRUE,1,0)</f>
        <v>1</v>
      </c>
      <c r="J5" s="46"/>
      <c r="K5" s="58" t="s">
        <v>213</v>
      </c>
      <c r="L5" s="55"/>
      <c r="M5" s="55"/>
      <c r="N5" s="55"/>
      <c r="O5" s="55"/>
      <c r="P5" s="55"/>
      <c r="Q5" s="55"/>
      <c r="R5" s="55"/>
      <c r="S5" s="55"/>
      <c r="T5" s="55"/>
      <c r="U5" s="55"/>
      <c r="V5" s="55"/>
      <c r="W5" s="55"/>
      <c r="X5" s="55"/>
      <c r="Y5" s="55"/>
      <c r="Z5" s="55"/>
      <c r="AA5" s="55"/>
      <c r="AB5" s="55"/>
    </row>
    <row r="6" spans="2:28" s="10" customFormat="1" ht="20.100000000000001" customHeight="1" x14ac:dyDescent="0.25">
      <c r="B6" s="19" t="s">
        <v>16</v>
      </c>
      <c r="C6" s="20">
        <v>3</v>
      </c>
      <c r="D6" s="21" t="s">
        <v>241</v>
      </c>
      <c r="E6" s="23"/>
      <c r="F6" s="19" t="s">
        <v>37</v>
      </c>
      <c r="G6" s="19"/>
      <c r="H6" s="60" t="b">
        <v>1</v>
      </c>
      <c r="I6" s="46">
        <v>0</v>
      </c>
      <c r="J6" s="46">
        <f>IF(H6=TRUE,1,0)</f>
        <v>1</v>
      </c>
      <c r="K6" s="58" t="s">
        <v>214</v>
      </c>
      <c r="L6" s="55"/>
      <c r="M6" s="55"/>
      <c r="N6" s="55"/>
      <c r="O6" s="55"/>
      <c r="P6" s="55"/>
      <c r="Q6" s="55"/>
      <c r="R6" s="55"/>
      <c r="S6" s="55"/>
      <c r="T6" s="55"/>
      <c r="U6" s="55"/>
      <c r="V6" s="55"/>
      <c r="W6" s="55"/>
      <c r="X6" s="55"/>
      <c r="Y6" s="55"/>
      <c r="Z6" s="55"/>
      <c r="AA6" s="55"/>
      <c r="AB6" s="55"/>
    </row>
    <row r="7" spans="2:28" s="10" customFormat="1" ht="20.100000000000001" customHeight="1" x14ac:dyDescent="0.25">
      <c r="B7" s="19" t="s">
        <v>15</v>
      </c>
      <c r="C7" s="20">
        <v>3</v>
      </c>
      <c r="D7" s="21"/>
      <c r="E7" s="23"/>
      <c r="F7" s="19" t="s">
        <v>38</v>
      </c>
      <c r="G7" s="19"/>
      <c r="H7" s="60" t="b">
        <v>1</v>
      </c>
      <c r="I7" s="46">
        <v>0</v>
      </c>
      <c r="J7" s="46">
        <f>IF(H7=TRUE,1,0)</f>
        <v>1</v>
      </c>
      <c r="K7" s="58" t="s">
        <v>215</v>
      </c>
      <c r="L7" s="55"/>
      <c r="M7" s="55"/>
      <c r="N7" s="55"/>
      <c r="O7" s="55"/>
      <c r="P7" s="55"/>
      <c r="Q7" s="55"/>
      <c r="R7" s="55"/>
      <c r="S7" s="55"/>
      <c r="T7" s="55"/>
      <c r="U7" s="55"/>
      <c r="V7" s="55"/>
      <c r="W7" s="55"/>
      <c r="X7" s="55"/>
      <c r="Y7" s="55"/>
      <c r="Z7" s="55"/>
      <c r="AA7" s="55"/>
      <c r="AB7" s="55"/>
    </row>
    <row r="8" spans="2:28" s="10" customFormat="1" ht="20.100000000000001" customHeight="1" x14ac:dyDescent="0.25">
      <c r="B8" s="18"/>
      <c r="F8" s="19" t="s">
        <v>39</v>
      </c>
      <c r="G8" s="19"/>
      <c r="H8" s="60" t="b">
        <v>0</v>
      </c>
      <c r="I8" s="46">
        <f>IF(H8=TRUE,1,0)</f>
        <v>0</v>
      </c>
      <c r="J8" s="46"/>
      <c r="K8" s="55"/>
      <c r="L8" s="55"/>
      <c r="M8" s="55"/>
      <c r="N8" s="55"/>
      <c r="O8" s="55"/>
      <c r="P8" s="55"/>
      <c r="Q8" s="55"/>
      <c r="R8" s="55"/>
      <c r="S8" s="55"/>
      <c r="T8" s="55"/>
      <c r="U8" s="55"/>
      <c r="V8" s="55"/>
      <c r="W8" s="55"/>
      <c r="X8" s="55"/>
      <c r="Y8" s="55"/>
      <c r="Z8" s="55"/>
      <c r="AA8" s="55"/>
      <c r="AB8" s="55"/>
    </row>
    <row r="9" spans="2:28" s="10" customFormat="1" ht="20.100000000000001" customHeight="1" x14ac:dyDescent="0.25">
      <c r="B9" s="19" t="s">
        <v>13</v>
      </c>
      <c r="C9" s="20">
        <v>25</v>
      </c>
      <c r="D9" s="21"/>
      <c r="E9" s="23"/>
      <c r="F9" s="19" t="s">
        <v>40</v>
      </c>
      <c r="G9" s="19"/>
      <c r="H9" s="60" t="b">
        <v>0</v>
      </c>
      <c r="I9" s="46">
        <f>IF(H9=TRUE,2,0)</f>
        <v>0</v>
      </c>
      <c r="J9" s="46"/>
      <c r="K9" s="55"/>
      <c r="L9" s="55"/>
      <c r="M9" s="55"/>
      <c r="N9" s="55"/>
      <c r="O9" s="55"/>
      <c r="P9" s="55"/>
      <c r="Q9" s="55"/>
      <c r="R9" s="55"/>
      <c r="S9" s="55"/>
      <c r="T9" s="55"/>
      <c r="U9" s="55"/>
      <c r="V9" s="55"/>
      <c r="W9" s="55"/>
      <c r="X9" s="55"/>
      <c r="Y9" s="55"/>
      <c r="Z9" s="55"/>
      <c r="AA9" s="55"/>
      <c r="AB9" s="55"/>
    </row>
    <row r="10" spans="2:28" s="10" customFormat="1" ht="19.8" customHeight="1" x14ac:dyDescent="0.25">
      <c r="B10" s="19" t="s">
        <v>197</v>
      </c>
      <c r="C10" s="20">
        <v>1</v>
      </c>
      <c r="D10" s="21"/>
      <c r="E10" s="23"/>
      <c r="H10" s="46" t="s">
        <v>172</v>
      </c>
      <c r="I10" s="46">
        <f>MAX(I5:I9)</f>
        <v>1</v>
      </c>
      <c r="J10" s="46"/>
      <c r="K10" s="55"/>
      <c r="L10" s="55"/>
      <c r="M10" s="55"/>
      <c r="N10" s="55"/>
      <c r="O10" s="55"/>
      <c r="P10" s="55"/>
      <c r="Q10" s="55"/>
      <c r="R10" s="55"/>
      <c r="S10" s="55"/>
      <c r="T10" s="55"/>
      <c r="U10" s="55"/>
      <c r="V10" s="55"/>
      <c r="W10" s="55"/>
      <c r="X10" s="55"/>
      <c r="Y10" s="55"/>
      <c r="Z10" s="55"/>
      <c r="AA10" s="55"/>
      <c r="AB10" s="55"/>
    </row>
    <row r="11" spans="2:28" s="10" customFormat="1" ht="20.100000000000001" customHeight="1" x14ac:dyDescent="0.25">
      <c r="H11" s="46"/>
      <c r="I11" s="46"/>
      <c r="J11" s="46"/>
      <c r="K11" s="55"/>
      <c r="L11" s="55"/>
      <c r="M11" s="55"/>
      <c r="N11" s="55"/>
      <c r="O11" s="55"/>
      <c r="P11" s="55"/>
      <c r="Q11" s="55"/>
      <c r="R11" s="55"/>
      <c r="S11" s="55"/>
      <c r="T11" s="55"/>
      <c r="U11" s="55"/>
      <c r="V11" s="55"/>
      <c r="W11" s="55"/>
      <c r="X11" s="55"/>
      <c r="Y11" s="55"/>
      <c r="Z11" s="55"/>
      <c r="AA11" s="55"/>
      <c r="AB11" s="55"/>
    </row>
    <row r="12" spans="2:28" s="10" customFormat="1" ht="20.100000000000001" customHeight="1" x14ac:dyDescent="0.25">
      <c r="B12" s="14" t="s">
        <v>28</v>
      </c>
      <c r="F12" s="14" t="s">
        <v>41</v>
      </c>
      <c r="G12" s="12"/>
      <c r="H12" s="46"/>
      <c r="I12" s="46" t="s">
        <v>163</v>
      </c>
      <c r="J12" s="46"/>
      <c r="K12" s="55"/>
      <c r="L12" s="55"/>
      <c r="M12" s="55"/>
      <c r="N12" s="55"/>
      <c r="O12" s="55"/>
      <c r="P12" s="55"/>
      <c r="Q12" s="55"/>
      <c r="R12" s="55"/>
      <c r="S12" s="55"/>
      <c r="T12" s="55"/>
      <c r="U12" s="55"/>
      <c r="V12" s="55"/>
      <c r="W12" s="55"/>
      <c r="X12" s="55"/>
      <c r="Y12" s="55"/>
      <c r="Z12" s="55"/>
      <c r="AA12" s="55"/>
      <c r="AB12" s="55"/>
    </row>
    <row r="13" spans="2:28" s="10" customFormat="1" ht="20.100000000000001" customHeight="1" x14ac:dyDescent="0.25">
      <c r="B13" s="19" t="s">
        <v>18</v>
      </c>
      <c r="C13" s="20">
        <v>0</v>
      </c>
      <c r="D13" s="21"/>
      <c r="E13" s="23"/>
      <c r="F13" s="19" t="s">
        <v>42</v>
      </c>
      <c r="G13" s="19">
        <v>20</v>
      </c>
      <c r="H13" s="21"/>
      <c r="I13" s="46">
        <f>IF(G13&lt;100,1,0)</f>
        <v>1</v>
      </c>
      <c r="J13" s="55"/>
      <c r="K13" s="55"/>
      <c r="L13" s="55"/>
      <c r="M13" s="55"/>
      <c r="N13" s="55"/>
      <c r="O13" s="55"/>
      <c r="P13" s="55"/>
      <c r="Q13" s="55"/>
      <c r="R13" s="55"/>
      <c r="S13" s="55"/>
      <c r="T13" s="55"/>
      <c r="U13" s="55"/>
      <c r="V13" s="55"/>
      <c r="W13" s="55"/>
      <c r="X13" s="55"/>
      <c r="Y13" s="55"/>
      <c r="Z13" s="55"/>
      <c r="AA13" s="55"/>
      <c r="AB13" s="55"/>
    </row>
    <row r="14" spans="2:28" s="10" customFormat="1" ht="20.100000000000001" customHeight="1" x14ac:dyDescent="0.25">
      <c r="B14" s="19" t="s">
        <v>26</v>
      </c>
      <c r="C14" s="20">
        <v>0</v>
      </c>
      <c r="D14" s="21"/>
      <c r="E14" s="23"/>
      <c r="I14" s="55"/>
      <c r="J14" s="55"/>
      <c r="K14" s="55"/>
      <c r="L14" s="55"/>
      <c r="M14" s="55"/>
      <c r="N14" s="55"/>
      <c r="O14" s="55"/>
      <c r="P14" s="55"/>
      <c r="Q14" s="55"/>
      <c r="R14" s="55"/>
      <c r="S14" s="55"/>
      <c r="T14" s="55"/>
      <c r="U14" s="55"/>
      <c r="V14" s="55"/>
      <c r="W14" s="55"/>
      <c r="X14" s="55"/>
      <c r="Y14" s="55"/>
      <c r="Z14" s="55"/>
      <c r="AA14" s="55"/>
      <c r="AB14" s="55"/>
    </row>
    <row r="15" spans="2:28" s="10" customFormat="1" ht="20.100000000000001" customHeight="1" x14ac:dyDescent="0.25">
      <c r="B15" s="19" t="s">
        <v>25</v>
      </c>
      <c r="C15" s="20">
        <v>0</v>
      </c>
      <c r="D15" s="21"/>
      <c r="E15" s="23"/>
      <c r="F15" s="14" t="s">
        <v>43</v>
      </c>
      <c r="I15" s="55"/>
      <c r="J15" s="55"/>
      <c r="K15" s="55"/>
      <c r="L15" s="55"/>
      <c r="M15" s="55"/>
      <c r="N15" s="55"/>
      <c r="O15" s="55"/>
      <c r="P15" s="55"/>
      <c r="Q15" s="55"/>
      <c r="R15" s="55"/>
      <c r="S15" s="55"/>
      <c r="T15" s="55"/>
      <c r="U15" s="55"/>
      <c r="V15" s="55"/>
      <c r="W15" s="55"/>
      <c r="X15" s="55"/>
      <c r="Y15" s="55"/>
      <c r="Z15" s="55"/>
      <c r="AA15" s="55"/>
      <c r="AB15" s="55"/>
    </row>
    <row r="16" spans="2:28" s="10" customFormat="1" ht="20.100000000000001" customHeight="1" x14ac:dyDescent="0.25">
      <c r="F16" s="19" t="s">
        <v>120</v>
      </c>
      <c r="G16" s="20">
        <v>100</v>
      </c>
      <c r="H16" s="21"/>
      <c r="I16" s="55"/>
      <c r="J16" s="55"/>
      <c r="K16" s="55"/>
      <c r="L16" s="55"/>
      <c r="M16" s="55"/>
      <c r="N16" s="55"/>
      <c r="O16" s="55"/>
      <c r="P16" s="55"/>
      <c r="Q16" s="55"/>
      <c r="R16" s="55"/>
      <c r="S16" s="55"/>
      <c r="T16" s="55"/>
      <c r="U16" s="55"/>
      <c r="V16" s="55"/>
      <c r="W16" s="55"/>
      <c r="X16" s="55"/>
      <c r="Y16" s="55"/>
      <c r="Z16" s="55"/>
      <c r="AA16" s="55"/>
      <c r="AB16" s="55"/>
    </row>
    <row r="17" spans="2:28" s="10" customFormat="1" ht="20.100000000000001" customHeight="1" x14ac:dyDescent="0.25">
      <c r="B17" s="14" t="s">
        <v>29</v>
      </c>
      <c r="F17" s="19" t="s">
        <v>196</v>
      </c>
      <c r="G17" s="20">
        <v>20</v>
      </c>
      <c r="H17" s="21"/>
      <c r="I17" s="55"/>
      <c r="J17" s="55"/>
      <c r="K17" s="55"/>
      <c r="L17" s="55"/>
      <c r="M17" s="55"/>
      <c r="N17" s="55"/>
      <c r="O17" s="55"/>
      <c r="P17" s="55"/>
      <c r="Q17" s="55"/>
      <c r="R17" s="55"/>
      <c r="S17" s="55"/>
      <c r="T17" s="55"/>
      <c r="U17" s="55"/>
      <c r="V17" s="55"/>
      <c r="W17" s="55"/>
      <c r="X17" s="55"/>
      <c r="Y17" s="55"/>
      <c r="Z17" s="55"/>
      <c r="AA17" s="55"/>
      <c r="AB17" s="55"/>
    </row>
    <row r="18" spans="2:28" s="10" customFormat="1" ht="20.100000000000001" customHeight="1" x14ac:dyDescent="0.25">
      <c r="B18" s="19" t="s">
        <v>19</v>
      </c>
      <c r="C18" s="20">
        <v>0</v>
      </c>
      <c r="D18" s="21"/>
      <c r="E18" s="23"/>
      <c r="I18" s="55"/>
      <c r="J18" s="55"/>
      <c r="K18" s="55"/>
      <c r="L18" s="55"/>
      <c r="M18" s="55"/>
      <c r="N18" s="55"/>
      <c r="O18" s="55"/>
      <c r="P18" s="55"/>
      <c r="Q18" s="55"/>
      <c r="R18" s="55"/>
      <c r="S18" s="55"/>
      <c r="T18" s="55"/>
      <c r="U18" s="55"/>
      <c r="V18" s="55"/>
      <c r="W18" s="55"/>
      <c r="X18" s="55"/>
      <c r="Y18" s="55"/>
      <c r="Z18" s="55"/>
      <c r="AA18" s="55"/>
      <c r="AB18" s="55"/>
    </row>
    <row r="19" spans="2:28" s="10" customFormat="1" ht="20.100000000000001" customHeight="1" x14ac:dyDescent="0.25">
      <c r="B19" s="19" t="s">
        <v>22</v>
      </c>
      <c r="C19" s="20">
        <v>0</v>
      </c>
      <c r="D19" s="21"/>
      <c r="E19" s="23"/>
      <c r="F19" s="14" t="s">
        <v>44</v>
      </c>
      <c r="I19" s="55"/>
      <c r="J19" s="55"/>
      <c r="K19" s="55"/>
      <c r="L19" s="55"/>
      <c r="M19" s="55"/>
      <c r="N19" s="55"/>
      <c r="O19" s="55"/>
      <c r="P19" s="55"/>
      <c r="Q19" s="55"/>
      <c r="R19" s="55"/>
      <c r="S19" s="55"/>
      <c r="T19" s="55"/>
      <c r="U19" s="55"/>
      <c r="V19" s="55"/>
      <c r="W19" s="55"/>
      <c r="X19" s="55"/>
      <c r="Y19" s="55"/>
      <c r="Z19" s="55"/>
      <c r="AA19" s="55"/>
      <c r="AB19" s="55"/>
    </row>
    <row r="20" spans="2:28" s="10" customFormat="1" ht="20.100000000000001" customHeight="1" x14ac:dyDescent="0.25">
      <c r="B20" s="19" t="s">
        <v>23</v>
      </c>
      <c r="C20" s="20">
        <v>0</v>
      </c>
      <c r="D20" s="21"/>
      <c r="E20" s="23"/>
      <c r="F20" s="19" t="s">
        <v>45</v>
      </c>
      <c r="G20" s="20">
        <v>4</v>
      </c>
      <c r="H20" s="21"/>
      <c r="I20" s="55"/>
      <c r="J20" s="55"/>
      <c r="K20" s="55"/>
      <c r="L20" s="55"/>
      <c r="M20" s="55"/>
      <c r="N20" s="55"/>
      <c r="O20" s="55"/>
      <c r="P20" s="55"/>
      <c r="Q20" s="55"/>
      <c r="R20" s="55"/>
      <c r="S20" s="55"/>
      <c r="T20" s="55"/>
      <c r="U20" s="55"/>
      <c r="V20" s="55"/>
      <c r="W20" s="55"/>
      <c r="X20" s="55"/>
      <c r="Y20" s="55"/>
      <c r="Z20" s="55"/>
      <c r="AA20" s="55"/>
      <c r="AB20" s="55"/>
    </row>
    <row r="21" spans="2:28" s="10" customFormat="1" ht="20.100000000000001" customHeight="1" x14ac:dyDescent="0.25">
      <c r="G21" s="55"/>
      <c r="H21" s="55"/>
      <c r="I21" s="55"/>
      <c r="J21" s="55"/>
      <c r="K21" s="55"/>
      <c r="L21" s="55"/>
      <c r="M21" s="55"/>
      <c r="N21" s="55"/>
      <c r="O21" s="55"/>
      <c r="P21" s="55"/>
      <c r="Q21" s="55"/>
      <c r="R21" s="55"/>
      <c r="S21" s="55"/>
      <c r="T21" s="55"/>
      <c r="U21" s="55"/>
      <c r="V21" s="55"/>
      <c r="W21" s="55"/>
      <c r="X21" s="55"/>
      <c r="Y21" s="55"/>
      <c r="Z21" s="55"/>
      <c r="AA21" s="55"/>
      <c r="AB21" s="55"/>
    </row>
    <row r="22" spans="2:28" s="10" customFormat="1" ht="20.100000000000001" customHeight="1" x14ac:dyDescent="0.25">
      <c r="B22" s="14" t="s">
        <v>30</v>
      </c>
      <c r="F22" s="19" t="s">
        <v>64</v>
      </c>
      <c r="G22" s="20">
        <v>5</v>
      </c>
      <c r="H22" s="21"/>
      <c r="I22" s="55"/>
      <c r="J22" s="55"/>
      <c r="K22" s="55"/>
      <c r="L22" s="55"/>
      <c r="M22" s="55"/>
      <c r="N22" s="55"/>
      <c r="O22" s="55"/>
      <c r="P22" s="55"/>
      <c r="Q22" s="55"/>
      <c r="R22" s="55"/>
      <c r="S22" s="55"/>
      <c r="T22" s="55"/>
      <c r="U22" s="55"/>
      <c r="V22" s="55"/>
      <c r="W22" s="55"/>
      <c r="X22" s="55"/>
      <c r="Y22" s="55"/>
      <c r="Z22" s="55"/>
      <c r="AA22" s="55"/>
      <c r="AB22" s="55"/>
    </row>
    <row r="23" spans="2:28" s="10" customFormat="1" ht="20.100000000000001" customHeight="1" x14ac:dyDescent="0.25">
      <c r="B23" s="19" t="s">
        <v>20</v>
      </c>
      <c r="C23" s="20">
        <v>0</v>
      </c>
      <c r="D23" s="21"/>
      <c r="E23" s="23"/>
      <c r="I23" s="55"/>
      <c r="J23" s="55"/>
      <c r="K23" s="55"/>
      <c r="L23" s="55"/>
      <c r="M23" s="55"/>
      <c r="N23" s="55"/>
      <c r="O23" s="55"/>
      <c r="P23" s="55"/>
      <c r="Q23" s="55"/>
      <c r="R23" s="55"/>
      <c r="S23" s="55"/>
      <c r="T23" s="55"/>
      <c r="U23" s="55"/>
      <c r="V23" s="55"/>
      <c r="W23" s="55"/>
      <c r="X23" s="55"/>
      <c r="Y23" s="55"/>
      <c r="Z23" s="55"/>
      <c r="AA23" s="55"/>
      <c r="AB23" s="55"/>
    </row>
    <row r="24" spans="2:28" s="10" customFormat="1" ht="20.100000000000001" customHeight="1" x14ac:dyDescent="0.25">
      <c r="B24" s="19" t="s">
        <v>24</v>
      </c>
      <c r="C24" s="20">
        <v>0</v>
      </c>
      <c r="D24" s="21"/>
      <c r="E24" s="23"/>
      <c r="F24" s="19" t="s">
        <v>63</v>
      </c>
      <c r="G24" s="48"/>
      <c r="H24" s="60" t="b">
        <v>0</v>
      </c>
      <c r="I24" s="55"/>
      <c r="J24" s="55"/>
      <c r="K24" s="55"/>
      <c r="L24" s="55"/>
      <c r="M24" s="55"/>
      <c r="N24" s="55"/>
      <c r="O24" s="55"/>
      <c r="P24" s="55"/>
      <c r="Q24" s="55"/>
      <c r="R24" s="55"/>
      <c r="S24" s="55"/>
      <c r="T24" s="55"/>
      <c r="U24" s="55"/>
      <c r="V24" s="55"/>
      <c r="W24" s="55"/>
      <c r="X24" s="55"/>
      <c r="Y24" s="55"/>
      <c r="Z24" s="55"/>
      <c r="AA24" s="55"/>
      <c r="AB24" s="55"/>
    </row>
    <row r="25" spans="2:28" s="10" customFormat="1" ht="20.100000000000001" customHeight="1" x14ac:dyDescent="0.25">
      <c r="H25" s="46"/>
      <c r="I25" s="55"/>
      <c r="J25" s="55"/>
      <c r="K25" s="55"/>
      <c r="L25" s="55"/>
      <c r="M25" s="55"/>
      <c r="N25" s="55"/>
      <c r="O25" s="55"/>
      <c r="P25" s="55"/>
      <c r="Q25" s="55"/>
      <c r="R25" s="55"/>
      <c r="S25" s="55"/>
      <c r="T25" s="55"/>
      <c r="U25" s="55"/>
      <c r="V25" s="55"/>
      <c r="W25" s="55"/>
      <c r="X25" s="55"/>
      <c r="Y25" s="55"/>
      <c r="Z25" s="55"/>
      <c r="AA25" s="55"/>
      <c r="AB25" s="55"/>
    </row>
    <row r="26" spans="2:28" s="10" customFormat="1" ht="20.100000000000001" customHeight="1" x14ac:dyDescent="0.25">
      <c r="B26" s="14" t="s">
        <v>31</v>
      </c>
      <c r="F26" s="19" t="s">
        <v>65</v>
      </c>
      <c r="G26" s="48"/>
      <c r="H26" s="60" t="b">
        <v>0</v>
      </c>
      <c r="I26" s="55"/>
      <c r="J26" s="55"/>
      <c r="K26" s="55"/>
      <c r="L26" s="55"/>
      <c r="M26" s="55"/>
      <c r="N26" s="55"/>
      <c r="O26" s="55"/>
      <c r="P26" s="55"/>
      <c r="Q26" s="55"/>
      <c r="R26" s="55"/>
      <c r="S26" s="55"/>
      <c r="T26" s="55"/>
      <c r="U26" s="55"/>
      <c r="V26" s="55"/>
      <c r="W26" s="55"/>
      <c r="X26" s="55"/>
      <c r="Y26" s="55"/>
      <c r="Z26" s="55"/>
      <c r="AA26" s="55"/>
      <c r="AB26" s="55"/>
    </row>
    <row r="27" spans="2:28" s="10" customFormat="1" ht="20.100000000000001" customHeight="1" x14ac:dyDescent="0.25">
      <c r="B27" s="19" t="s">
        <v>21</v>
      </c>
      <c r="C27" s="20">
        <v>0</v>
      </c>
      <c r="D27" s="21"/>
      <c r="E27" s="23"/>
      <c r="F27" s="19" t="s">
        <v>66</v>
      </c>
      <c r="G27" s="49"/>
      <c r="H27" s="60" t="b">
        <v>0</v>
      </c>
      <c r="I27" s="55"/>
      <c r="J27" s="55"/>
      <c r="K27" s="55"/>
      <c r="L27" s="55"/>
      <c r="M27" s="55"/>
      <c r="N27" s="55"/>
      <c r="O27" s="55"/>
      <c r="P27" s="55"/>
      <c r="Q27" s="55"/>
      <c r="R27" s="55"/>
      <c r="S27" s="55"/>
      <c r="T27" s="55"/>
      <c r="U27" s="55"/>
      <c r="V27" s="55"/>
      <c r="W27" s="55"/>
      <c r="X27" s="55"/>
      <c r="Y27" s="55"/>
      <c r="Z27" s="55"/>
      <c r="AA27" s="55"/>
      <c r="AB27" s="55"/>
    </row>
    <row r="28" spans="2:28" s="10" customFormat="1" ht="20.100000000000001" customHeight="1" x14ac:dyDescent="0.25">
      <c r="B28" s="19" t="s">
        <v>27</v>
      </c>
      <c r="C28" s="20">
        <v>0</v>
      </c>
      <c r="D28" s="21"/>
      <c r="E28" s="23"/>
      <c r="F28" s="19" t="s">
        <v>68</v>
      </c>
      <c r="G28" s="48"/>
      <c r="H28" s="60" t="b">
        <v>0</v>
      </c>
      <c r="I28" s="55"/>
      <c r="J28" s="55"/>
      <c r="K28" s="55"/>
      <c r="L28" s="55"/>
      <c r="M28" s="55"/>
      <c r="N28" s="55"/>
      <c r="O28" s="55"/>
      <c r="P28" s="55"/>
      <c r="Q28" s="55"/>
      <c r="R28" s="55"/>
      <c r="S28" s="55"/>
      <c r="T28" s="55"/>
      <c r="U28" s="55"/>
      <c r="V28" s="55"/>
      <c r="W28" s="55"/>
      <c r="X28" s="55"/>
      <c r="Y28" s="55"/>
      <c r="Z28" s="55"/>
      <c r="AA28" s="55"/>
      <c r="AB28" s="55"/>
    </row>
    <row r="29" spans="2:28" s="10" customFormat="1" ht="20.100000000000001" customHeight="1" x14ac:dyDescent="0.25">
      <c r="H29" s="46"/>
      <c r="I29" s="55"/>
      <c r="J29" s="55"/>
      <c r="K29" s="55"/>
      <c r="L29" s="55"/>
      <c r="M29" s="55"/>
      <c r="N29" s="55"/>
      <c r="O29" s="55"/>
      <c r="P29" s="55"/>
      <c r="Q29" s="55"/>
      <c r="R29" s="55"/>
      <c r="S29" s="55"/>
      <c r="T29" s="55"/>
      <c r="U29" s="55"/>
      <c r="V29" s="55"/>
      <c r="W29" s="55"/>
      <c r="X29" s="55"/>
      <c r="Y29" s="55"/>
      <c r="Z29" s="55"/>
      <c r="AA29" s="55"/>
      <c r="AB29" s="55"/>
    </row>
    <row r="30" spans="2:28" s="10" customFormat="1" ht="20.100000000000001" customHeight="1" x14ac:dyDescent="0.25">
      <c r="B30" s="14" t="s">
        <v>32</v>
      </c>
      <c r="H30" s="46"/>
      <c r="I30" s="55"/>
      <c r="J30" s="55"/>
      <c r="K30" s="55"/>
      <c r="L30" s="55"/>
      <c r="M30" s="55"/>
      <c r="N30" s="55"/>
      <c r="O30" s="55"/>
      <c r="P30" s="55"/>
      <c r="Q30" s="55"/>
      <c r="R30" s="55"/>
      <c r="S30" s="55"/>
      <c r="T30" s="55"/>
      <c r="U30" s="55"/>
      <c r="V30" s="55"/>
      <c r="W30" s="55"/>
      <c r="X30" s="55"/>
      <c r="Y30" s="55"/>
      <c r="Z30" s="55"/>
      <c r="AA30" s="55"/>
      <c r="AB30" s="55"/>
    </row>
    <row r="31" spans="2:28" s="10" customFormat="1" ht="20.100000000000001" customHeight="1" x14ac:dyDescent="0.25">
      <c r="B31" s="19" t="s">
        <v>17</v>
      </c>
      <c r="C31" s="20">
        <v>4</v>
      </c>
      <c r="D31" s="21"/>
      <c r="E31" s="23"/>
      <c r="F31" s="42" t="s">
        <v>119</v>
      </c>
      <c r="G31" s="42">
        <v>0.25</v>
      </c>
      <c r="H31" s="46"/>
      <c r="I31" s="55"/>
      <c r="J31" s="55"/>
      <c r="K31" s="55"/>
      <c r="L31" s="55"/>
      <c r="M31" s="55"/>
      <c r="N31" s="55"/>
      <c r="O31" s="55"/>
      <c r="P31" s="55"/>
      <c r="Q31" s="55"/>
      <c r="R31" s="55"/>
      <c r="S31" s="55"/>
      <c r="T31" s="55"/>
      <c r="U31" s="55"/>
      <c r="V31" s="55"/>
      <c r="W31" s="55"/>
      <c r="X31" s="55"/>
      <c r="Y31" s="55"/>
      <c r="Z31" s="55"/>
      <c r="AA31" s="55"/>
      <c r="AB31" s="55"/>
    </row>
    <row r="32" spans="2:28" s="10" customFormat="1" ht="20.100000000000001" customHeight="1" x14ac:dyDescent="0.25">
      <c r="B32" s="19" t="s">
        <v>33</v>
      </c>
      <c r="C32" s="20">
        <v>60</v>
      </c>
      <c r="D32" s="21"/>
      <c r="E32" s="23"/>
      <c r="H32" s="46"/>
      <c r="I32" s="55"/>
      <c r="J32" s="55"/>
      <c r="K32" s="55"/>
      <c r="L32" s="55"/>
      <c r="M32" s="55"/>
      <c r="N32" s="55"/>
      <c r="O32" s="55"/>
      <c r="P32" s="55"/>
      <c r="Q32" s="55"/>
      <c r="R32" s="55"/>
      <c r="S32" s="55"/>
      <c r="T32" s="55"/>
      <c r="U32" s="55"/>
      <c r="V32" s="55"/>
      <c r="W32" s="55"/>
      <c r="X32" s="55"/>
      <c r="Y32" s="55"/>
      <c r="Z32" s="55"/>
      <c r="AA32" s="55"/>
      <c r="AB32" s="55"/>
    </row>
    <row r="33" spans="1:28" s="10" customFormat="1" ht="20.100000000000001" customHeight="1" x14ac:dyDescent="0.25">
      <c r="B33" s="19" t="s">
        <v>34</v>
      </c>
      <c r="C33" s="20">
        <v>90</v>
      </c>
      <c r="D33" s="21"/>
      <c r="E33" s="23"/>
      <c r="F33" s="42" t="s">
        <v>238</v>
      </c>
      <c r="G33" s="42">
        <v>35</v>
      </c>
      <c r="H33" s="46"/>
      <c r="I33" s="55"/>
      <c r="J33" s="55"/>
      <c r="K33" s="55"/>
      <c r="L33" s="55"/>
      <c r="M33" s="55"/>
      <c r="N33" s="55"/>
      <c r="O33" s="55"/>
      <c r="P33" s="55"/>
      <c r="Q33" s="55"/>
      <c r="R33" s="55"/>
      <c r="S33" s="55"/>
      <c r="T33" s="55"/>
      <c r="U33" s="55"/>
      <c r="V33" s="55"/>
      <c r="W33" s="55"/>
      <c r="X33" s="55"/>
      <c r="Y33" s="55"/>
      <c r="Z33" s="55"/>
      <c r="AA33" s="55"/>
      <c r="AB33" s="55"/>
    </row>
    <row r="34" spans="1:28" s="55" customFormat="1" ht="13.2" x14ac:dyDescent="0.25">
      <c r="A34" s="46"/>
      <c r="B34" s="46" t="s">
        <v>202</v>
      </c>
      <c r="C34" s="46"/>
      <c r="D34" s="46"/>
      <c r="E34" s="46"/>
      <c r="F34" s="46"/>
      <c r="G34" s="46"/>
      <c r="H34" s="46"/>
      <c r="I34" s="46"/>
      <c r="J34" s="46"/>
      <c r="K34" s="46"/>
      <c r="L34" s="46"/>
      <c r="M34" s="46"/>
      <c r="N34" s="46"/>
      <c r="O34" s="46"/>
      <c r="P34" s="46"/>
      <c r="Q34" s="46"/>
      <c r="R34" s="46"/>
      <c r="S34" s="46"/>
      <c r="T34" s="46"/>
      <c r="U34" s="46"/>
      <c r="V34" s="46"/>
      <c r="W34" s="46"/>
      <c r="X34" s="46"/>
      <c r="Y34" s="46"/>
    </row>
    <row r="35" spans="1:28" s="55" customFormat="1" ht="13.2" x14ac:dyDescent="0.25">
      <c r="A35" s="46"/>
      <c r="B35" s="47" t="s">
        <v>113</v>
      </c>
      <c r="C35" s="46" t="s">
        <v>114</v>
      </c>
      <c r="D35" s="46" t="s">
        <v>115</v>
      </c>
      <c r="E35" s="46" t="s">
        <v>116</v>
      </c>
      <c r="F35" s="46" t="s">
        <v>117</v>
      </c>
      <c r="G35" s="46" t="s">
        <v>118</v>
      </c>
      <c r="H35" s="47" t="s">
        <v>176</v>
      </c>
      <c r="I35" s="46"/>
      <c r="J35" s="46"/>
      <c r="K35" s="46"/>
      <c r="L35" s="46"/>
      <c r="M35" s="46"/>
      <c r="N35" s="46"/>
      <c r="O35" s="46"/>
      <c r="P35" s="46"/>
      <c r="Q35" s="46"/>
      <c r="R35" s="46"/>
      <c r="S35" s="46"/>
      <c r="T35" s="46"/>
      <c r="U35" s="46"/>
      <c r="V35" s="46"/>
      <c r="W35" s="46"/>
      <c r="X35" s="46"/>
      <c r="Y35" s="46"/>
    </row>
    <row r="36" spans="1:28" s="55" customFormat="1" ht="13.2" x14ac:dyDescent="0.25">
      <c r="A36" s="46"/>
      <c r="B36" s="46" t="s">
        <v>111</v>
      </c>
      <c r="C36" s="46">
        <f>12*$C$9*$C$10*C13*(C15/60)*G16/100</f>
        <v>0</v>
      </c>
      <c r="D36" s="46">
        <f>12*$C$9*$C$10*C18*(C20/60)*G16/100</f>
        <v>0</v>
      </c>
      <c r="E36" s="46">
        <f>12*$C$9*$C$10*C23*(C24/60)*G16/100</f>
        <v>0</v>
      </c>
      <c r="F36" s="46">
        <f>12*$C$9*$C$10*C27*(C28/60)*G16/100</f>
        <v>0</v>
      </c>
      <c r="G36" s="46">
        <f>12*$C$9*$C$10*C31*(C33/60)*G16/100</f>
        <v>1800</v>
      </c>
      <c r="H36" s="46">
        <f>SUM(C36:G36)</f>
        <v>1800</v>
      </c>
      <c r="I36" s="46"/>
      <c r="J36" s="46"/>
      <c r="K36" s="46"/>
      <c r="L36" s="46"/>
      <c r="M36" s="46"/>
      <c r="N36" s="46"/>
      <c r="O36" s="46"/>
      <c r="P36" s="46"/>
      <c r="Q36" s="46"/>
      <c r="R36" s="46"/>
      <c r="S36" s="46"/>
      <c r="T36" s="46"/>
      <c r="U36" s="46"/>
      <c r="V36" s="46"/>
      <c r="W36" s="46"/>
      <c r="X36" s="46"/>
      <c r="Y36" s="46"/>
    </row>
    <row r="37" spans="1:28" s="55" customFormat="1" ht="13.2" x14ac:dyDescent="0.25">
      <c r="A37" s="46"/>
      <c r="B37" s="46" t="s">
        <v>203</v>
      </c>
      <c r="C37" s="60">
        <f>C36*$D$54*$G$31</f>
        <v>0</v>
      </c>
      <c r="D37" s="46">
        <f>D36*$D$54*$G$31</f>
        <v>0</v>
      </c>
      <c r="E37" s="46">
        <f>E36*$D$54*$G$31</f>
        <v>0</v>
      </c>
      <c r="F37" s="46">
        <f>F36*$D$54*$G$31</f>
        <v>0</v>
      </c>
      <c r="G37" s="46">
        <f>G36*$D$54*$G$31</f>
        <v>1350</v>
      </c>
      <c r="H37" s="46">
        <f>SUM(C37:G37)</f>
        <v>1350</v>
      </c>
      <c r="I37" s="46"/>
      <c r="J37" s="46"/>
      <c r="K37" s="46"/>
      <c r="L37" s="46"/>
      <c r="M37" s="46"/>
      <c r="N37" s="46"/>
      <c r="O37" s="46"/>
      <c r="P37" s="46"/>
      <c r="Q37" s="46"/>
      <c r="R37" s="46"/>
      <c r="S37" s="46"/>
      <c r="T37" s="46"/>
      <c r="U37" s="46"/>
      <c r="V37" s="46"/>
      <c r="W37" s="46"/>
      <c r="X37" s="46"/>
      <c r="Y37" s="46"/>
    </row>
    <row r="38" spans="1:28" s="55" customFormat="1" ht="13.2" x14ac:dyDescent="0.25">
      <c r="A38" s="46"/>
      <c r="B38" s="47" t="s">
        <v>112</v>
      </c>
      <c r="C38" s="46"/>
      <c r="D38" s="46"/>
      <c r="E38" s="46"/>
      <c r="F38" s="46"/>
      <c r="G38" s="46"/>
      <c r="H38" s="46"/>
      <c r="I38" s="46"/>
      <c r="J38" s="46"/>
      <c r="K38" s="46"/>
      <c r="L38" s="46"/>
      <c r="M38" s="46"/>
      <c r="N38" s="46"/>
      <c r="O38" s="46"/>
      <c r="P38" s="46"/>
      <c r="Q38" s="46"/>
      <c r="R38" s="46"/>
      <c r="S38" s="46"/>
      <c r="T38" s="46"/>
      <c r="U38" s="46"/>
      <c r="V38" s="46"/>
      <c r="W38" s="46"/>
      <c r="X38" s="46"/>
      <c r="Y38" s="46"/>
    </row>
    <row r="39" spans="1:28" s="55" customFormat="1" ht="13.2" x14ac:dyDescent="0.25">
      <c r="A39" s="46"/>
      <c r="B39" s="46" t="s">
        <v>111</v>
      </c>
      <c r="C39" s="46">
        <f>12*$C$9*$C$10*C13*((C14+C15)/60)*G16/100</f>
        <v>0</v>
      </c>
      <c r="D39" s="46">
        <f>12*$C$9*$C$10*C18*(C19+C20)/60</f>
        <v>0</v>
      </c>
      <c r="E39" s="46">
        <f>12*$C$9*$C$10*C23*C24/60</f>
        <v>0</v>
      </c>
      <c r="F39" s="46">
        <f>12*$C$9*$C$10*C27*C28/60</f>
        <v>0</v>
      </c>
      <c r="G39" s="46">
        <f>12*$C$9*$C$10*C31*(C32+C33)/60</f>
        <v>3000</v>
      </c>
      <c r="H39" s="46">
        <f>SUM(C39:G39)</f>
        <v>3000</v>
      </c>
      <c r="I39" s="46"/>
      <c r="J39" s="46"/>
      <c r="K39" s="46"/>
      <c r="L39" s="46"/>
      <c r="M39" s="46"/>
      <c r="N39" s="46"/>
      <c r="O39" s="46"/>
      <c r="P39" s="46"/>
      <c r="Q39" s="46"/>
      <c r="R39" s="46"/>
      <c r="S39" s="46"/>
      <c r="T39" s="46"/>
      <c r="U39" s="46"/>
      <c r="V39" s="46"/>
      <c r="W39" s="46"/>
      <c r="X39" s="46"/>
      <c r="Y39" s="46"/>
    </row>
    <row r="40" spans="1:28" s="55" customFormat="1" ht="13.2" x14ac:dyDescent="0.25">
      <c r="A40" s="46"/>
      <c r="B40" s="46" t="s">
        <v>203</v>
      </c>
      <c r="C40" s="46">
        <f>C39*$D$54*$G$31</f>
        <v>0</v>
      </c>
      <c r="D40" s="46">
        <f>D39*$D$54*$G$31</f>
        <v>0</v>
      </c>
      <c r="E40" s="46">
        <f>E39*$D$54*$G$31</f>
        <v>0</v>
      </c>
      <c r="F40" s="46">
        <f>F39*$D$54*$G$31</f>
        <v>0</v>
      </c>
      <c r="G40" s="46">
        <f>G39*$D$54*$G$31</f>
        <v>2250</v>
      </c>
      <c r="H40" s="46">
        <f>SUM(C40:G40)</f>
        <v>2250</v>
      </c>
      <c r="I40" s="46"/>
      <c r="J40" s="46"/>
      <c r="K40" s="46"/>
      <c r="L40" s="46"/>
      <c r="M40" s="46"/>
      <c r="N40" s="46"/>
      <c r="O40" s="46"/>
      <c r="P40" s="46"/>
      <c r="Q40" s="46"/>
      <c r="R40" s="46"/>
      <c r="S40" s="46"/>
      <c r="T40" s="46"/>
      <c r="U40" s="46"/>
      <c r="V40" s="46"/>
      <c r="W40" s="46"/>
      <c r="X40" s="46"/>
      <c r="Y40" s="46"/>
    </row>
    <row r="41" spans="1:28" s="55" customFormat="1" ht="13.2" x14ac:dyDescent="0.25">
      <c r="A41" s="46"/>
      <c r="B41" s="46"/>
      <c r="C41" s="46"/>
      <c r="D41" s="46"/>
      <c r="E41" s="46"/>
      <c r="F41" s="46"/>
      <c r="G41" s="46"/>
      <c r="H41" s="46"/>
      <c r="I41" s="46"/>
      <c r="J41" s="46"/>
      <c r="K41" s="46"/>
      <c r="L41" s="46"/>
      <c r="M41" s="46"/>
      <c r="N41" s="46"/>
      <c r="O41" s="46"/>
      <c r="P41" s="46"/>
      <c r="Q41" s="46"/>
      <c r="R41" s="46"/>
      <c r="S41" s="46"/>
      <c r="T41" s="46"/>
      <c r="U41" s="46"/>
      <c r="V41" s="46"/>
      <c r="W41" s="46"/>
      <c r="X41" s="46"/>
      <c r="Y41" s="46"/>
    </row>
    <row r="42" spans="1:28" s="55" customFormat="1" ht="13.2" x14ac:dyDescent="0.25">
      <c r="A42" s="46"/>
      <c r="B42" s="47" t="s">
        <v>41</v>
      </c>
      <c r="C42" s="46"/>
      <c r="D42" s="46"/>
      <c r="E42" s="46"/>
      <c r="F42" s="46"/>
      <c r="G42" s="46"/>
      <c r="H42" s="46" t="s">
        <v>204</v>
      </c>
      <c r="I42" s="46">
        <f>((IF(I5=1,1,0)*H39)+(IF((J6+I7+I8+I9)&gt;0,1,0)*H36))</f>
        <v>4800</v>
      </c>
      <c r="J42" s="46"/>
      <c r="K42" s="46"/>
      <c r="L42" s="46"/>
      <c r="M42" s="46"/>
      <c r="N42" s="46"/>
      <c r="O42" s="46"/>
      <c r="P42" s="46"/>
      <c r="Q42" s="46"/>
      <c r="R42" s="46"/>
      <c r="S42" s="46"/>
      <c r="T42" s="46"/>
      <c r="U42" s="46"/>
      <c r="V42" s="46"/>
      <c r="W42" s="46"/>
      <c r="X42" s="46"/>
      <c r="Y42" s="46"/>
    </row>
    <row r="43" spans="1:28" s="55" customFormat="1" ht="13.2" x14ac:dyDescent="0.25">
      <c r="A43" s="46"/>
      <c r="B43" s="46" t="s">
        <v>121</v>
      </c>
      <c r="C43" s="46">
        <f>C9*12</f>
        <v>300</v>
      </c>
      <c r="D43" s="46"/>
      <c r="E43" s="46"/>
      <c r="F43" s="46"/>
      <c r="G43" s="46"/>
      <c r="H43" s="46" t="s">
        <v>205</v>
      </c>
      <c r="I43" s="46">
        <f>I42*D54*G31</f>
        <v>3600</v>
      </c>
      <c r="J43" s="46"/>
      <c r="K43" s="46"/>
      <c r="L43" s="46"/>
      <c r="M43" s="46"/>
      <c r="N43" s="46"/>
      <c r="O43" s="46"/>
      <c r="P43" s="46"/>
      <c r="Q43" s="46"/>
      <c r="R43" s="46"/>
      <c r="S43" s="46"/>
      <c r="T43" s="46"/>
      <c r="U43" s="46"/>
      <c r="V43" s="46"/>
      <c r="W43" s="46"/>
      <c r="X43" s="46"/>
      <c r="Y43" s="46"/>
    </row>
    <row r="44" spans="1:28" s="55" customFormat="1" ht="13.2" x14ac:dyDescent="0.25">
      <c r="A44" s="46"/>
      <c r="B44" s="46" t="s">
        <v>122</v>
      </c>
      <c r="C44" s="46">
        <f>C43*C10</f>
        <v>300</v>
      </c>
      <c r="D44" s="46"/>
      <c r="E44" s="46"/>
      <c r="F44" s="46"/>
      <c r="G44" s="46"/>
      <c r="H44" s="46"/>
      <c r="I44" s="46"/>
      <c r="J44" s="46"/>
      <c r="K44" s="46"/>
      <c r="L44" s="46"/>
      <c r="M44" s="46"/>
      <c r="N44" s="46"/>
      <c r="O44" s="46"/>
      <c r="P44" s="46"/>
      <c r="Q44" s="46"/>
      <c r="R44" s="46"/>
      <c r="S44" s="46"/>
      <c r="T44" s="46"/>
      <c r="U44" s="46"/>
      <c r="V44" s="46"/>
      <c r="W44" s="46"/>
      <c r="X44" s="46"/>
      <c r="Y44" s="46"/>
    </row>
    <row r="45" spans="1:28" s="55" customFormat="1" ht="13.2" x14ac:dyDescent="0.25">
      <c r="A45" s="46"/>
      <c r="B45" s="46" t="s">
        <v>201</v>
      </c>
      <c r="C45" s="46"/>
      <c r="D45" s="46" t="s">
        <v>200</v>
      </c>
      <c r="E45" s="46"/>
      <c r="F45" s="46"/>
      <c r="G45" s="46"/>
      <c r="H45" s="46"/>
      <c r="I45" s="46"/>
      <c r="J45" s="46"/>
      <c r="K45" s="46"/>
      <c r="L45" s="46"/>
      <c r="M45" s="46"/>
      <c r="N45" s="46"/>
      <c r="O45" s="46"/>
      <c r="P45" s="46"/>
      <c r="Q45" s="46"/>
      <c r="R45" s="46"/>
      <c r="S45" s="46"/>
      <c r="T45" s="46"/>
      <c r="U45" s="46"/>
      <c r="V45" s="46"/>
      <c r="W45" s="46"/>
      <c r="X45" s="46"/>
      <c r="Y45" s="46"/>
    </row>
    <row r="46" spans="1:28" s="55" customFormat="1" ht="13.2" x14ac:dyDescent="0.25">
      <c r="A46" s="46"/>
      <c r="B46" s="46" t="s">
        <v>166</v>
      </c>
      <c r="C46" s="46">
        <f>IF(AND(C13&gt;0,C14&gt;0,C15&gt;0),1,0)</f>
        <v>0</v>
      </c>
      <c r="D46" s="46">
        <v>3</v>
      </c>
      <c r="E46" s="46"/>
      <c r="F46" s="46"/>
      <c r="G46" s="46"/>
      <c r="H46" s="46"/>
      <c r="I46" s="46"/>
      <c r="J46" s="46"/>
      <c r="K46" s="46"/>
      <c r="L46" s="46"/>
      <c r="M46" s="46"/>
      <c r="N46" s="46"/>
      <c r="O46" s="46"/>
      <c r="P46" s="46"/>
      <c r="Q46" s="46"/>
      <c r="R46" s="46"/>
      <c r="S46" s="46"/>
      <c r="T46" s="46"/>
      <c r="U46" s="46"/>
      <c r="V46" s="46"/>
      <c r="W46" s="46"/>
      <c r="X46" s="46"/>
      <c r="Y46" s="46"/>
    </row>
    <row r="47" spans="1:28" s="55" customFormat="1" ht="13.2" x14ac:dyDescent="0.25">
      <c r="A47" s="46"/>
      <c r="B47" s="46" t="s">
        <v>167</v>
      </c>
      <c r="C47" s="46">
        <f>IF(AND(C18&gt;0,C19&gt;0,C20&gt;0),1,0)</f>
        <v>0</v>
      </c>
      <c r="D47" s="46">
        <v>2</v>
      </c>
      <c r="E47" s="46"/>
      <c r="F47" s="46"/>
      <c r="G47" s="46"/>
      <c r="H47" s="46"/>
      <c r="I47" s="46"/>
      <c r="J47" s="46"/>
      <c r="K47" s="46"/>
      <c r="L47" s="46"/>
      <c r="M47" s="46"/>
      <c r="N47" s="46"/>
      <c r="O47" s="46"/>
      <c r="P47" s="46"/>
      <c r="Q47" s="46"/>
      <c r="R47" s="46"/>
      <c r="S47" s="46"/>
      <c r="T47" s="46"/>
      <c r="U47" s="46"/>
      <c r="V47" s="46"/>
      <c r="W47" s="46"/>
      <c r="X47" s="46"/>
      <c r="Y47" s="46"/>
    </row>
    <row r="48" spans="1:28" s="55" customFormat="1" ht="13.2" x14ac:dyDescent="0.25">
      <c r="A48" s="46"/>
      <c r="B48" s="46" t="s">
        <v>168</v>
      </c>
      <c r="C48" s="46">
        <f>IF(AND(C23&gt;0,C24&gt;0),1,0)</f>
        <v>0</v>
      </c>
      <c r="D48" s="46">
        <v>2</v>
      </c>
      <c r="E48" s="46"/>
      <c r="F48" s="46"/>
      <c r="G48" s="46"/>
      <c r="H48" s="46"/>
      <c r="I48" s="46"/>
      <c r="J48" s="46"/>
      <c r="K48" s="46"/>
      <c r="L48" s="46"/>
      <c r="M48" s="46"/>
      <c r="N48" s="46"/>
      <c r="O48" s="46"/>
      <c r="P48" s="46"/>
      <c r="Q48" s="46"/>
      <c r="R48" s="46"/>
      <c r="S48" s="46"/>
      <c r="T48" s="46"/>
      <c r="U48" s="46"/>
      <c r="V48" s="46"/>
      <c r="W48" s="46"/>
      <c r="X48" s="46"/>
      <c r="Y48" s="46"/>
    </row>
    <row r="49" spans="1:25" s="55" customFormat="1" ht="13.2" x14ac:dyDescent="0.25">
      <c r="A49" s="46"/>
      <c r="B49" s="46" t="s">
        <v>169</v>
      </c>
      <c r="C49" s="46">
        <f>IF(AND(C27&gt;0,C28&gt;0),1,0)</f>
        <v>0</v>
      </c>
      <c r="D49" s="46">
        <v>2</v>
      </c>
      <c r="E49" s="46"/>
      <c r="F49" s="46"/>
      <c r="G49" s="46"/>
      <c r="H49" s="46"/>
      <c r="I49" s="46"/>
      <c r="J49" s="46"/>
      <c r="K49" s="46"/>
      <c r="L49" s="46"/>
      <c r="M49" s="46"/>
      <c r="N49" s="46"/>
      <c r="O49" s="46"/>
      <c r="P49" s="46"/>
      <c r="Q49" s="46"/>
      <c r="R49" s="46"/>
      <c r="S49" s="46"/>
      <c r="T49" s="46"/>
      <c r="U49" s="46"/>
      <c r="V49" s="46"/>
      <c r="W49" s="46"/>
      <c r="X49" s="46"/>
      <c r="Y49" s="46"/>
    </row>
    <row r="50" spans="1:25" s="55" customFormat="1" ht="13.2" x14ac:dyDescent="0.25">
      <c r="A50" s="46"/>
      <c r="B50" s="46" t="s">
        <v>170</v>
      </c>
      <c r="C50" s="46">
        <f>IF(AND(C31&gt;0,C32&gt;0,C33&gt;0),1,0)</f>
        <v>1</v>
      </c>
      <c r="D50" s="46">
        <v>2</v>
      </c>
      <c r="E50" s="46"/>
      <c r="F50" s="46"/>
      <c r="G50" s="46"/>
      <c r="H50" s="46"/>
      <c r="I50" s="46"/>
      <c r="J50" s="46"/>
      <c r="K50" s="46"/>
      <c r="L50" s="46"/>
      <c r="M50" s="46"/>
      <c r="N50" s="46"/>
      <c r="O50" s="46"/>
      <c r="P50" s="46"/>
      <c r="Q50" s="46"/>
      <c r="R50" s="46"/>
      <c r="S50" s="46"/>
      <c r="T50" s="46"/>
      <c r="U50" s="46"/>
      <c r="V50" s="46"/>
      <c r="W50" s="46"/>
      <c r="X50" s="46"/>
      <c r="Y50" s="46"/>
    </row>
    <row r="51" spans="1:25" s="55" customFormat="1" ht="13.2" x14ac:dyDescent="0.25">
      <c r="A51" s="46"/>
      <c r="B51" s="46"/>
      <c r="C51" s="46"/>
      <c r="D51" s="46" t="s">
        <v>171</v>
      </c>
      <c r="E51" s="46"/>
      <c r="F51" s="46"/>
      <c r="G51" s="46"/>
      <c r="H51" s="46"/>
      <c r="I51" s="46"/>
      <c r="J51" s="46"/>
      <c r="K51" s="46"/>
      <c r="L51" s="46"/>
      <c r="M51" s="46"/>
      <c r="N51" s="46"/>
      <c r="O51" s="46"/>
      <c r="P51" s="46"/>
      <c r="Q51" s="46"/>
      <c r="R51" s="46"/>
      <c r="S51" s="46"/>
      <c r="T51" s="46"/>
      <c r="U51" s="46"/>
      <c r="V51" s="46"/>
      <c r="W51" s="46"/>
      <c r="X51" s="46"/>
      <c r="Y51" s="46"/>
    </row>
    <row r="52" spans="1:25" s="55" customFormat="1" ht="13.2" x14ac:dyDescent="0.25">
      <c r="A52" s="46"/>
      <c r="B52" s="46"/>
      <c r="C52" s="46"/>
      <c r="D52" s="46">
        <f>C46*D46+C47*D47+C48*D48+C49*D49+C50*D50</f>
        <v>2</v>
      </c>
      <c r="E52" s="46"/>
      <c r="F52" s="46"/>
      <c r="G52" s="46"/>
      <c r="H52" s="46"/>
      <c r="I52" s="46"/>
      <c r="J52" s="46"/>
      <c r="K52" s="46"/>
      <c r="L52" s="46"/>
      <c r="M52" s="46"/>
      <c r="N52" s="46"/>
      <c r="O52" s="46"/>
      <c r="P52" s="46"/>
      <c r="Q52" s="46"/>
      <c r="R52" s="46"/>
      <c r="S52" s="46"/>
      <c r="T52" s="46"/>
      <c r="U52" s="46"/>
      <c r="V52" s="46"/>
      <c r="W52" s="46"/>
      <c r="X52" s="46"/>
      <c r="Y52" s="46"/>
    </row>
    <row r="53" spans="1:25" s="55" customFormat="1" ht="13.2" x14ac:dyDescent="0.25">
      <c r="A53" s="46"/>
      <c r="B53" s="46"/>
      <c r="C53" s="46"/>
      <c r="D53" s="46" t="s">
        <v>211</v>
      </c>
      <c r="E53" s="46"/>
      <c r="F53" s="46"/>
      <c r="G53" s="46"/>
      <c r="H53" s="46"/>
      <c r="I53" s="46"/>
      <c r="J53" s="46"/>
      <c r="K53" s="46"/>
      <c r="L53" s="46"/>
      <c r="M53" s="46"/>
      <c r="N53" s="46"/>
      <c r="O53" s="46"/>
      <c r="P53" s="46"/>
      <c r="Q53" s="46"/>
      <c r="R53" s="46"/>
      <c r="S53" s="46"/>
      <c r="T53" s="46"/>
      <c r="U53" s="46"/>
      <c r="V53" s="46"/>
      <c r="W53" s="46"/>
      <c r="X53" s="46"/>
      <c r="Y53" s="46"/>
    </row>
    <row r="54" spans="1:25" s="55" customFormat="1" ht="13.2" x14ac:dyDescent="0.25">
      <c r="A54" s="46"/>
      <c r="B54" s="46"/>
      <c r="C54" s="46"/>
      <c r="D54" s="46">
        <f>D52+I10</f>
        <v>3</v>
      </c>
      <c r="E54" s="46"/>
      <c r="F54" s="46"/>
      <c r="G54" s="46" t="s">
        <v>183</v>
      </c>
      <c r="H54" s="46"/>
      <c r="I54" s="46"/>
      <c r="J54" s="46"/>
      <c r="K54" s="46"/>
      <c r="L54" s="46"/>
      <c r="M54" s="46"/>
      <c r="N54" s="46"/>
      <c r="O54" s="46"/>
      <c r="P54" s="46"/>
      <c r="Q54" s="46"/>
      <c r="R54" s="46"/>
      <c r="S54" s="46"/>
      <c r="T54" s="46"/>
      <c r="U54" s="46"/>
      <c r="V54" s="46"/>
      <c r="W54" s="46"/>
      <c r="X54" s="46"/>
      <c r="Y54" s="46"/>
    </row>
    <row r="55" spans="1:25" s="55" customFormat="1" ht="13.2" x14ac:dyDescent="0.25">
      <c r="A55" s="46"/>
      <c r="B55" s="61" t="s">
        <v>173</v>
      </c>
      <c r="C55" s="60"/>
      <c r="D55" s="61" t="s">
        <v>175</v>
      </c>
      <c r="E55" s="61" t="s">
        <v>177</v>
      </c>
      <c r="F55" s="60"/>
      <c r="G55" s="60" t="s">
        <v>206</v>
      </c>
      <c r="H55" s="60"/>
      <c r="I55" s="61" t="s">
        <v>184</v>
      </c>
      <c r="J55" s="61" t="s">
        <v>185</v>
      </c>
      <c r="K55" s="61" t="s">
        <v>189</v>
      </c>
      <c r="L55" s="60"/>
      <c r="M55" s="60"/>
      <c r="N55" s="60"/>
      <c r="O55" s="46"/>
      <c r="P55" s="46"/>
      <c r="Q55" s="46"/>
      <c r="R55" s="46"/>
      <c r="S55" s="46"/>
      <c r="T55" s="46"/>
      <c r="U55" s="46"/>
      <c r="V55" s="46"/>
      <c r="W55" s="46"/>
      <c r="X55" s="46"/>
      <c r="Y55" s="46"/>
    </row>
    <row r="56" spans="1:25" s="55" customFormat="1" ht="13.2" x14ac:dyDescent="0.25">
      <c r="A56" s="46"/>
      <c r="B56" s="60" t="s">
        <v>166</v>
      </c>
      <c r="C56" s="60">
        <f>12*C9*C10*C46*C13*((C14+C15)/60)*G16/100</f>
        <v>0</v>
      </c>
      <c r="D56" s="60">
        <f>C56*$D$54</f>
        <v>0</v>
      </c>
      <c r="E56" s="60">
        <f>D56*$G$31</f>
        <v>0</v>
      </c>
      <c r="F56" s="60"/>
      <c r="G56" s="60">
        <v>0.05</v>
      </c>
      <c r="H56" s="60">
        <f>IF($H$5=TRUE,1,0)</f>
        <v>1</v>
      </c>
      <c r="I56" s="60">
        <f>C56*G56*H56*G17*0.01</f>
        <v>0</v>
      </c>
      <c r="J56" s="60">
        <f>I56*$C$4</f>
        <v>0</v>
      </c>
      <c r="K56" s="60">
        <f>SUM(J56:J60)</f>
        <v>4500</v>
      </c>
      <c r="L56" s="60"/>
      <c r="M56" s="60"/>
      <c r="N56" s="60"/>
      <c r="O56" s="46"/>
      <c r="P56" s="46"/>
      <c r="Q56" s="46"/>
      <c r="R56" s="46"/>
      <c r="S56" s="46"/>
      <c r="T56" s="46"/>
      <c r="U56" s="46"/>
      <c r="V56" s="46"/>
      <c r="W56" s="46"/>
      <c r="X56" s="46"/>
      <c r="Y56" s="46"/>
    </row>
    <row r="57" spans="1:25" s="55" customFormat="1" ht="13.2" x14ac:dyDescent="0.25">
      <c r="A57" s="46"/>
      <c r="B57" s="60" t="s">
        <v>167</v>
      </c>
      <c r="C57" s="60">
        <f>12*C9*C10*C47*C18*((C19+C20)/60)*G16/100</f>
        <v>0</v>
      </c>
      <c r="D57" s="60">
        <f>C57*$D$54</f>
        <v>0</v>
      </c>
      <c r="E57" s="60">
        <f t="shared" ref="E57:E60" si="0">D57*$G$31</f>
        <v>0</v>
      </c>
      <c r="F57" s="60"/>
      <c r="G57" s="60">
        <v>0.05</v>
      </c>
      <c r="H57" s="60">
        <f>IF($H$5=TRUE,1,0)</f>
        <v>1</v>
      </c>
      <c r="I57" s="60">
        <f>C57*G57*H57*G17*0.01</f>
        <v>0</v>
      </c>
      <c r="J57" s="60">
        <f>I57*$C$4</f>
        <v>0</v>
      </c>
      <c r="K57" s="60"/>
      <c r="L57" s="60"/>
      <c r="M57" s="60"/>
      <c r="N57" s="60"/>
      <c r="O57" s="46"/>
      <c r="P57" s="46"/>
      <c r="Q57" s="46"/>
      <c r="R57" s="46"/>
      <c r="S57" s="46"/>
      <c r="T57" s="46"/>
      <c r="U57" s="46"/>
      <c r="V57" s="46"/>
      <c r="W57" s="46"/>
      <c r="X57" s="46"/>
      <c r="Y57" s="46"/>
    </row>
    <row r="58" spans="1:25" s="55" customFormat="1" ht="13.2" x14ac:dyDescent="0.25">
      <c r="A58" s="46"/>
      <c r="B58" s="60" t="s">
        <v>168</v>
      </c>
      <c r="C58" s="60">
        <f>C48*C44*C23*(C24/60)*G16/100</f>
        <v>0</v>
      </c>
      <c r="D58" s="60">
        <f>C58*$D$54</f>
        <v>0</v>
      </c>
      <c r="E58" s="60">
        <f t="shared" si="0"/>
        <v>0</v>
      </c>
      <c r="F58" s="60"/>
      <c r="G58" s="60">
        <v>0.05</v>
      </c>
      <c r="H58" s="60">
        <f>IF($H$5=TRUE,1,0)</f>
        <v>1</v>
      </c>
      <c r="I58" s="60">
        <f>C58*G58*H57*G17*0.01</f>
        <v>0</v>
      </c>
      <c r="J58" s="60">
        <f>I58*$C$4</f>
        <v>0</v>
      </c>
      <c r="K58" s="60"/>
      <c r="L58" s="60"/>
      <c r="M58" s="60"/>
      <c r="N58" s="60"/>
      <c r="O58" s="46"/>
      <c r="P58" s="46"/>
      <c r="Q58" s="46"/>
      <c r="R58" s="46"/>
      <c r="S58" s="46"/>
      <c r="T58" s="46"/>
      <c r="U58" s="46"/>
      <c r="V58" s="46"/>
      <c r="W58" s="46"/>
      <c r="X58" s="46"/>
      <c r="Y58" s="46"/>
    </row>
    <row r="59" spans="1:25" s="55" customFormat="1" ht="13.2" x14ac:dyDescent="0.25">
      <c r="A59" s="46"/>
      <c r="B59" s="60" t="s">
        <v>169</v>
      </c>
      <c r="C59" s="60">
        <f>C49*C44*C27*(C28/60)*G16/100</f>
        <v>0</v>
      </c>
      <c r="D59" s="60">
        <f>C59*$D$54</f>
        <v>0</v>
      </c>
      <c r="E59" s="60">
        <f t="shared" si="0"/>
        <v>0</v>
      </c>
      <c r="F59" s="60"/>
      <c r="G59" s="60">
        <v>0.05</v>
      </c>
      <c r="H59" s="60">
        <f>IF($H$5=TRUE,1,0)</f>
        <v>1</v>
      </c>
      <c r="I59" s="60">
        <f>C59*G59*H57*G17*0.01</f>
        <v>0</v>
      </c>
      <c r="J59" s="60">
        <f>I59*$C$4</f>
        <v>0</v>
      </c>
      <c r="K59" s="60"/>
      <c r="L59" s="60"/>
      <c r="M59" s="60"/>
      <c r="N59" s="60"/>
      <c r="O59" s="46"/>
      <c r="P59" s="46"/>
      <c r="Q59" s="46"/>
      <c r="R59" s="46"/>
      <c r="S59" s="46"/>
      <c r="T59" s="46"/>
      <c r="U59" s="46"/>
      <c r="V59" s="46"/>
      <c r="W59" s="46"/>
      <c r="X59" s="46"/>
      <c r="Y59" s="46"/>
    </row>
    <row r="60" spans="1:25" s="55" customFormat="1" ht="13.2" x14ac:dyDescent="0.25">
      <c r="A60" s="46"/>
      <c r="B60" s="60" t="s">
        <v>170</v>
      </c>
      <c r="C60" s="60">
        <f>C50*C44*C31*((C32+C33)/60)*G16/100</f>
        <v>3000</v>
      </c>
      <c r="D60" s="60">
        <f>C60*$D$54</f>
        <v>9000</v>
      </c>
      <c r="E60" s="60">
        <f t="shared" si="0"/>
        <v>2250</v>
      </c>
      <c r="F60" s="60"/>
      <c r="G60" s="60">
        <v>0.05</v>
      </c>
      <c r="H60" s="60">
        <f>IF($H$5=TRUE,1,0)</f>
        <v>1</v>
      </c>
      <c r="I60" s="60">
        <f>C60*G60*H57*G17*0.01</f>
        <v>30</v>
      </c>
      <c r="J60" s="60">
        <f>I60*$C$4</f>
        <v>4500</v>
      </c>
      <c r="K60" s="60"/>
      <c r="L60" s="60"/>
      <c r="M60" s="60"/>
      <c r="N60" s="60"/>
      <c r="O60" s="46"/>
      <c r="P60" s="46"/>
      <c r="Q60" s="46"/>
      <c r="R60" s="46"/>
      <c r="S60" s="46"/>
      <c r="T60" s="46"/>
      <c r="U60" s="46"/>
      <c r="V60" s="46"/>
      <c r="W60" s="46"/>
      <c r="X60" s="46"/>
      <c r="Y60" s="46"/>
    </row>
    <row r="61" spans="1:25" s="55" customFormat="1" ht="13.2" x14ac:dyDescent="0.25">
      <c r="A61" s="46"/>
      <c r="B61" s="61" t="s">
        <v>174</v>
      </c>
      <c r="C61" s="60">
        <f>SUM(C56:C60)</f>
        <v>3000</v>
      </c>
      <c r="D61" s="60"/>
      <c r="E61" s="60">
        <f>SUM(E56:E60)</f>
        <v>2250</v>
      </c>
      <c r="F61" s="60"/>
      <c r="G61" s="60" t="s">
        <v>207</v>
      </c>
      <c r="H61" s="60" t="s">
        <v>208</v>
      </c>
      <c r="I61" s="60" t="s">
        <v>209</v>
      </c>
      <c r="J61" s="60" t="s">
        <v>210</v>
      </c>
      <c r="K61" s="60">
        <f>IF(H6=TRUE,1,0)</f>
        <v>1</v>
      </c>
      <c r="L61" s="60">
        <f>IF(H7=TRUE,1,0)</f>
        <v>1</v>
      </c>
      <c r="M61" s="60">
        <f>IF(H8=TRUE,1,0)</f>
        <v>0</v>
      </c>
      <c r="N61" s="60">
        <f>IF(H9=TRUE,1,0)</f>
        <v>0</v>
      </c>
      <c r="O61" s="47" t="s">
        <v>186</v>
      </c>
      <c r="P61" s="46"/>
      <c r="Q61" s="46"/>
      <c r="R61" s="46"/>
      <c r="S61" s="47" t="s">
        <v>188</v>
      </c>
      <c r="T61" s="47" t="s">
        <v>185</v>
      </c>
      <c r="U61" s="47" t="s">
        <v>187</v>
      </c>
      <c r="V61" s="47" t="s">
        <v>190</v>
      </c>
      <c r="W61" s="46"/>
      <c r="X61" s="46"/>
      <c r="Y61" s="46"/>
    </row>
    <row r="62" spans="1:25" s="55" customFormat="1" ht="13.2" x14ac:dyDescent="0.25">
      <c r="A62" s="46"/>
      <c r="B62" s="60" t="s">
        <v>166</v>
      </c>
      <c r="C62" s="60">
        <f>12*C9*C10*C46*C13*(C15/60)*G16/100</f>
        <v>0</v>
      </c>
      <c r="D62" s="60">
        <f>C62*IF((I8+I9+J6)&gt;0,1,0)*$D$54</f>
        <v>0</v>
      </c>
      <c r="E62" s="60">
        <f>D62*$G$31</f>
        <v>0</v>
      </c>
      <c r="F62" s="60"/>
      <c r="G62" s="60">
        <v>0.37</v>
      </c>
      <c r="H62" s="60">
        <v>0.25</v>
      </c>
      <c r="I62" s="60">
        <v>1.1000000000000001</v>
      </c>
      <c r="J62" s="60">
        <v>1.5</v>
      </c>
      <c r="K62" s="60">
        <f>G62*K$61</f>
        <v>0.37</v>
      </c>
      <c r="L62" s="60">
        <f>H62*L$61</f>
        <v>0.25</v>
      </c>
      <c r="M62" s="60">
        <f>I62*M$61</f>
        <v>0</v>
      </c>
      <c r="N62" s="60">
        <f>J62*N$61</f>
        <v>0</v>
      </c>
      <c r="O62" s="60">
        <f>K62*$C62*G17*0.01</f>
        <v>0</v>
      </c>
      <c r="P62" s="60">
        <f>L62*$C62*G17*0.01</f>
        <v>0</v>
      </c>
      <c r="Q62" s="60">
        <f>M62*$C62*G17*0.01</f>
        <v>0</v>
      </c>
      <c r="R62" s="60">
        <f>N62*$C62*G17*0.01</f>
        <v>0</v>
      </c>
      <c r="S62" s="60">
        <f>O62+P62+Q62+R62</f>
        <v>0</v>
      </c>
      <c r="T62" s="46">
        <f>S62*$C$4</f>
        <v>0</v>
      </c>
      <c r="U62" s="46">
        <f>SUM(T62:T66)</f>
        <v>21600</v>
      </c>
      <c r="V62" s="46">
        <f>U62+K56</f>
        <v>26100</v>
      </c>
      <c r="W62" s="46"/>
      <c r="X62" s="46"/>
      <c r="Y62" s="46"/>
    </row>
    <row r="63" spans="1:25" s="55" customFormat="1" ht="13.2" x14ac:dyDescent="0.25">
      <c r="A63" s="46"/>
      <c r="B63" s="60" t="s">
        <v>167</v>
      </c>
      <c r="C63" s="60">
        <f>12*C9*C10*C47*C18*(C20/60)*G16/100</f>
        <v>0</v>
      </c>
      <c r="D63" s="60">
        <f>C63*(IF((I8+I9+J6)&gt;0,1,0)*$D$54)</f>
        <v>0</v>
      </c>
      <c r="E63" s="60">
        <f>D63*$G$31</f>
        <v>0</v>
      </c>
      <c r="F63" s="60"/>
      <c r="G63" s="60">
        <v>0.1</v>
      </c>
      <c r="H63" s="60">
        <v>0.2</v>
      </c>
      <c r="I63" s="60">
        <v>0.5</v>
      </c>
      <c r="J63" s="60">
        <v>0.7</v>
      </c>
      <c r="K63" s="60">
        <f t="shared" ref="K63:L66" si="1">G63*K$61</f>
        <v>0.1</v>
      </c>
      <c r="L63" s="60">
        <f t="shared" si="1"/>
        <v>0.2</v>
      </c>
      <c r="M63" s="60">
        <f t="shared" ref="M63:N66" si="2">I63*M$61</f>
        <v>0</v>
      </c>
      <c r="N63" s="60">
        <f t="shared" si="2"/>
        <v>0</v>
      </c>
      <c r="O63" s="60">
        <f>K63*$C63*G17*0.01</f>
        <v>0</v>
      </c>
      <c r="P63" s="60">
        <f>L63*$C63*G17*0.01</f>
        <v>0</v>
      </c>
      <c r="Q63" s="60">
        <f>M63*$C63*G17*0.01</f>
        <v>0</v>
      </c>
      <c r="R63" s="60">
        <f>N63*$C63*G17*0.01</f>
        <v>0</v>
      </c>
      <c r="S63" s="60">
        <f>O63+P63+Q63+R63</f>
        <v>0</v>
      </c>
      <c r="T63" s="46">
        <f>S63*$C$4</f>
        <v>0</v>
      </c>
      <c r="U63" s="46"/>
      <c r="V63" s="46"/>
      <c r="W63" s="46"/>
      <c r="X63" s="46"/>
      <c r="Y63" s="46"/>
    </row>
    <row r="64" spans="1:25" s="55" customFormat="1" ht="13.2" x14ac:dyDescent="0.25">
      <c r="A64" s="46"/>
      <c r="B64" s="60" t="s">
        <v>168</v>
      </c>
      <c r="C64" s="60">
        <f>C48*C44*C23*(C24/60)*G16/100</f>
        <v>0</v>
      </c>
      <c r="D64" s="60">
        <f>C64*(IF((I8+I9+J6)&gt;0,1,0)*$D$54)</f>
        <v>0</v>
      </c>
      <c r="E64" s="60">
        <f>D64*$G$31</f>
        <v>0</v>
      </c>
      <c r="F64" s="60"/>
      <c r="G64" s="60">
        <v>0.3</v>
      </c>
      <c r="H64" s="60">
        <v>0.3</v>
      </c>
      <c r="I64" s="60">
        <v>0.4</v>
      </c>
      <c r="J64" s="60">
        <v>0.6</v>
      </c>
      <c r="K64" s="60">
        <f t="shared" si="1"/>
        <v>0.3</v>
      </c>
      <c r="L64" s="60">
        <f t="shared" si="1"/>
        <v>0.3</v>
      </c>
      <c r="M64" s="60">
        <f t="shared" si="2"/>
        <v>0</v>
      </c>
      <c r="N64" s="60">
        <f t="shared" si="2"/>
        <v>0</v>
      </c>
      <c r="O64" s="60">
        <f>K64*$C64*G17*0.01</f>
        <v>0</v>
      </c>
      <c r="P64" s="60">
        <f>L64*$C64*G17*0.01</f>
        <v>0</v>
      </c>
      <c r="Q64" s="60">
        <f>M64*$C64*G17*0.01</f>
        <v>0</v>
      </c>
      <c r="R64" s="60">
        <f>N64*$C64*G17*0.01</f>
        <v>0</v>
      </c>
      <c r="S64" s="60">
        <f>O64+P64+Q64+R64</f>
        <v>0</v>
      </c>
      <c r="T64" s="46">
        <f>S64*$C$4</f>
        <v>0</v>
      </c>
      <c r="U64" s="46"/>
      <c r="V64" s="46"/>
      <c r="W64" s="46"/>
      <c r="X64" s="46"/>
      <c r="Y64" s="46"/>
    </row>
    <row r="65" spans="1:25" s="55" customFormat="1" ht="13.2" x14ac:dyDescent="0.25">
      <c r="A65" s="46"/>
      <c r="B65" s="60" t="s">
        <v>169</v>
      </c>
      <c r="C65" s="60">
        <f>C49*C44*C27*C28/60*G16/100</f>
        <v>0</v>
      </c>
      <c r="D65" s="60">
        <f>C65*(IF((I8+I9+J6)&gt;0,1,0)*$D$54)</f>
        <v>0</v>
      </c>
      <c r="E65" s="60">
        <f>D65*$G$31</f>
        <v>0</v>
      </c>
      <c r="F65" s="60"/>
      <c r="G65" s="60">
        <v>0.1</v>
      </c>
      <c r="H65" s="60">
        <v>0.2</v>
      </c>
      <c r="I65" s="60">
        <v>0.5</v>
      </c>
      <c r="J65" s="60">
        <v>0.6</v>
      </c>
      <c r="K65" s="60">
        <f t="shared" si="1"/>
        <v>0.1</v>
      </c>
      <c r="L65" s="60">
        <f t="shared" si="1"/>
        <v>0.2</v>
      </c>
      <c r="M65" s="60">
        <f t="shared" si="2"/>
        <v>0</v>
      </c>
      <c r="N65" s="60">
        <f t="shared" si="2"/>
        <v>0</v>
      </c>
      <c r="O65" s="60">
        <f>K65*$C65*G17*0.01</f>
        <v>0</v>
      </c>
      <c r="P65" s="60">
        <f>L65*$C65*G17*0.01</f>
        <v>0</v>
      </c>
      <c r="Q65" s="60">
        <f>M65*$C65*G17*0.01</f>
        <v>0</v>
      </c>
      <c r="R65" s="60">
        <f>N65*$C65*G17*0.01</f>
        <v>0</v>
      </c>
      <c r="S65" s="60">
        <f>O65+P65+Q65+R65</f>
        <v>0</v>
      </c>
      <c r="T65" s="46">
        <f>S65*$C$4</f>
        <v>0</v>
      </c>
      <c r="U65" s="46"/>
      <c r="V65" s="46"/>
      <c r="W65" s="46"/>
      <c r="X65" s="46"/>
      <c r="Y65" s="46"/>
    </row>
    <row r="66" spans="1:25" s="55" customFormat="1" ht="13.2" x14ac:dyDescent="0.25">
      <c r="A66" s="46"/>
      <c r="B66" s="60" t="s">
        <v>170</v>
      </c>
      <c r="C66" s="60">
        <f>C50*C44*C31*C33/60*G16/100</f>
        <v>1800</v>
      </c>
      <c r="D66" s="60">
        <f>C66*(IF((I8+I9+J6)&gt;0,1,0)*$D$54)</f>
        <v>5400</v>
      </c>
      <c r="E66" s="60">
        <f>D66*$G$31</f>
        <v>1350</v>
      </c>
      <c r="F66" s="60"/>
      <c r="G66" s="60">
        <v>0.2</v>
      </c>
      <c r="H66" s="60">
        <v>0.2</v>
      </c>
      <c r="I66" s="60">
        <v>1.1000000000000001</v>
      </c>
      <c r="J66" s="60">
        <v>1.4</v>
      </c>
      <c r="K66" s="60">
        <f t="shared" si="1"/>
        <v>0.2</v>
      </c>
      <c r="L66" s="60">
        <f t="shared" si="1"/>
        <v>0.2</v>
      </c>
      <c r="M66" s="60">
        <f t="shared" si="2"/>
        <v>0</v>
      </c>
      <c r="N66" s="60">
        <f t="shared" si="2"/>
        <v>0</v>
      </c>
      <c r="O66" s="60">
        <f>K66*$C66*G17*0.01</f>
        <v>72</v>
      </c>
      <c r="P66" s="60">
        <f>L66*$C66*G17*0.01</f>
        <v>72</v>
      </c>
      <c r="Q66" s="60">
        <f>M66*$C66*G17*0.01</f>
        <v>0</v>
      </c>
      <c r="R66" s="60">
        <f>N66*$C66*G17*0.01</f>
        <v>0</v>
      </c>
      <c r="S66" s="60">
        <f>O66+P66+Q66+R66</f>
        <v>144</v>
      </c>
      <c r="T66" s="46">
        <f>S66*$C$4</f>
        <v>21600</v>
      </c>
      <c r="U66" s="46"/>
      <c r="V66" s="46"/>
      <c r="W66" s="46"/>
      <c r="X66" s="46"/>
      <c r="Y66" s="46"/>
    </row>
    <row r="67" spans="1:25" s="55" customFormat="1" ht="13.2" x14ac:dyDescent="0.25">
      <c r="A67" s="46"/>
      <c r="B67" s="46"/>
      <c r="C67" s="60">
        <f>SUM(C62:C66)</f>
        <v>1800</v>
      </c>
      <c r="D67" s="60" t="s">
        <v>176</v>
      </c>
      <c r="E67" s="60">
        <f>SUM(E62:E66)</f>
        <v>1350</v>
      </c>
      <c r="F67" s="46"/>
      <c r="G67" s="46"/>
      <c r="H67" s="46"/>
      <c r="I67" s="46"/>
      <c r="J67" s="46"/>
      <c r="K67" s="46"/>
      <c r="L67" s="46"/>
      <c r="M67" s="46"/>
      <c r="N67" s="46"/>
      <c r="O67" s="46">
        <f>SUM(O62:O66)</f>
        <v>72</v>
      </c>
      <c r="P67" s="46">
        <f t="shared" ref="P67:T67" si="3">SUM(P62:P66)</f>
        <v>72</v>
      </c>
      <c r="Q67" s="46">
        <f t="shared" si="3"/>
        <v>0</v>
      </c>
      <c r="R67" s="46">
        <f t="shared" si="3"/>
        <v>0</v>
      </c>
      <c r="S67" s="46">
        <f t="shared" si="3"/>
        <v>144</v>
      </c>
      <c r="T67" s="46">
        <f t="shared" si="3"/>
        <v>21600</v>
      </c>
      <c r="U67" s="46"/>
      <c r="V67" s="46"/>
      <c r="W67" s="46"/>
      <c r="X67" s="46"/>
      <c r="Y67" s="46"/>
    </row>
    <row r="68" spans="1:25" s="55" customFormat="1" ht="13.2" x14ac:dyDescent="0.25">
      <c r="A68" s="46"/>
      <c r="B68" s="46"/>
      <c r="C68" s="60"/>
      <c r="D68" s="60"/>
      <c r="E68" s="60"/>
      <c r="F68" s="46"/>
      <c r="G68" s="46"/>
      <c r="H68" s="46"/>
      <c r="I68" s="46"/>
      <c r="J68" s="46"/>
      <c r="K68" s="46"/>
      <c r="L68" s="46"/>
      <c r="M68" s="46"/>
      <c r="N68" s="46"/>
      <c r="O68" s="46"/>
      <c r="P68" s="46"/>
      <c r="Q68" s="46"/>
      <c r="R68" s="46"/>
      <c r="S68" s="46"/>
      <c r="T68" s="46"/>
      <c r="U68" s="46"/>
      <c r="V68" s="46"/>
      <c r="W68" s="46"/>
      <c r="X68" s="46"/>
      <c r="Y68" s="46"/>
    </row>
    <row r="69" spans="1:25" s="55" customFormat="1" ht="13.2" x14ac:dyDescent="0.25">
      <c r="A69" s="46"/>
      <c r="B69" s="46"/>
      <c r="C69" s="60"/>
      <c r="D69" s="60" t="s">
        <v>178</v>
      </c>
      <c r="E69" s="60">
        <f>I5*E61+E67</f>
        <v>3600</v>
      </c>
      <c r="F69" s="46"/>
      <c r="G69" s="46"/>
      <c r="H69" s="46"/>
      <c r="I69" s="46"/>
      <c r="J69" s="46"/>
      <c r="K69" s="46"/>
      <c r="L69" s="46"/>
      <c r="M69" s="46"/>
      <c r="N69" s="46"/>
      <c r="O69" s="46"/>
      <c r="P69" s="46"/>
      <c r="Q69" s="46"/>
      <c r="R69" s="46"/>
      <c r="S69" s="46"/>
      <c r="T69" s="46"/>
      <c r="U69" s="46"/>
      <c r="V69" s="46"/>
      <c r="W69" s="46"/>
      <c r="X69" s="46"/>
      <c r="Y69" s="46"/>
    </row>
    <row r="70" spans="1:25" s="55" customFormat="1" ht="13.2" x14ac:dyDescent="0.25">
      <c r="A70" s="46"/>
      <c r="B70" s="46"/>
      <c r="C70" s="46"/>
      <c r="D70" s="46"/>
      <c r="E70" s="46"/>
      <c r="F70" s="46"/>
      <c r="G70" s="46"/>
      <c r="H70" s="46"/>
      <c r="I70" s="46"/>
      <c r="J70" s="46"/>
      <c r="K70" s="46"/>
      <c r="L70" s="46"/>
      <c r="M70" s="46"/>
      <c r="N70" s="46"/>
      <c r="O70" s="46"/>
      <c r="P70" s="46"/>
      <c r="Q70" s="46"/>
      <c r="R70" s="46"/>
      <c r="S70" s="46"/>
      <c r="T70" s="46"/>
      <c r="U70" s="46"/>
      <c r="V70" s="46"/>
      <c r="W70" s="46"/>
      <c r="X70" s="46"/>
      <c r="Y70" s="46"/>
    </row>
    <row r="71" spans="1:25" s="57" customFormat="1" x14ac:dyDescent="0.25">
      <c r="A71" s="62"/>
      <c r="B71" s="62"/>
      <c r="C71" s="62"/>
      <c r="D71" s="62"/>
      <c r="E71" s="62"/>
      <c r="F71" s="62"/>
      <c r="G71" s="62"/>
      <c r="H71" s="62"/>
      <c r="I71" s="62"/>
      <c r="J71" s="62"/>
      <c r="K71" s="62"/>
      <c r="L71" s="62"/>
      <c r="M71" s="62"/>
      <c r="N71" s="62"/>
      <c r="O71" s="62"/>
      <c r="P71" s="62"/>
      <c r="Q71" s="62"/>
      <c r="R71" s="62"/>
      <c r="S71" s="62"/>
      <c r="T71" s="62"/>
      <c r="U71" s="62"/>
      <c r="V71" s="62"/>
      <c r="W71" s="62"/>
      <c r="X71" s="62"/>
      <c r="Y71" s="62"/>
    </row>
    <row r="72" spans="1:25" s="57" customFormat="1" x14ac:dyDescent="0.25">
      <c r="A72" s="62"/>
      <c r="B72" s="62"/>
      <c r="C72" s="62"/>
      <c r="D72" s="62"/>
      <c r="E72" s="62"/>
      <c r="F72" s="62"/>
      <c r="G72" s="62"/>
      <c r="H72" s="62"/>
      <c r="I72" s="62"/>
      <c r="J72" s="62"/>
      <c r="K72" s="62"/>
      <c r="L72" s="62"/>
      <c r="M72" s="62"/>
      <c r="N72" s="62"/>
      <c r="O72" s="62"/>
      <c r="P72" s="62"/>
      <c r="Q72" s="62"/>
      <c r="R72" s="62"/>
      <c r="S72" s="62"/>
      <c r="T72" s="62"/>
      <c r="U72" s="62"/>
      <c r="V72" s="62"/>
      <c r="W72" s="62"/>
      <c r="X72" s="62"/>
      <c r="Y72" s="62"/>
    </row>
    <row r="73" spans="1:25" s="57" customFormat="1" x14ac:dyDescent="0.25">
      <c r="A73" s="62"/>
      <c r="B73" s="62"/>
      <c r="C73" s="62"/>
      <c r="D73" s="62"/>
      <c r="E73" s="62"/>
      <c r="F73" s="62"/>
      <c r="G73" s="62"/>
      <c r="H73" s="62"/>
      <c r="I73" s="62"/>
      <c r="J73" s="62"/>
      <c r="K73" s="62"/>
      <c r="L73" s="62"/>
      <c r="M73" s="62"/>
      <c r="N73" s="62"/>
      <c r="O73" s="62"/>
      <c r="P73" s="62"/>
      <c r="Q73" s="62"/>
      <c r="R73" s="62"/>
      <c r="S73" s="62"/>
      <c r="T73" s="62"/>
      <c r="U73" s="62"/>
      <c r="V73" s="62"/>
      <c r="W73" s="62"/>
      <c r="X73" s="62"/>
      <c r="Y73" s="62"/>
    </row>
    <row r="74" spans="1:25" s="57" customFormat="1" x14ac:dyDescent="0.25"/>
    <row r="75" spans="1:25" s="57" customFormat="1" x14ac:dyDescent="0.25"/>
    <row r="76" spans="1:25" s="57" customFormat="1" x14ac:dyDescent="0.25"/>
    <row r="77" spans="1:25" s="57" customFormat="1" x14ac:dyDescent="0.25"/>
    <row r="78" spans="1:25" s="57" customFormat="1" x14ac:dyDescent="0.25"/>
  </sheetData>
  <pageMargins left="0.7" right="0.7" top="0.75" bottom="0.75" header="0.3" footer="0.3"/>
  <pageSetup scale="57" orientation="landscape"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Scroll Bar 1">
              <controlPr defaultSize="0" autoPict="0">
                <anchor moveWithCells="1">
                  <from>
                    <xdr:col>3</xdr:col>
                    <xdr:colOff>30480</xdr:colOff>
                    <xdr:row>3</xdr:row>
                    <xdr:rowOff>38100</xdr:rowOff>
                  </from>
                  <to>
                    <xdr:col>3</xdr:col>
                    <xdr:colOff>1859280</xdr:colOff>
                    <xdr:row>3</xdr:row>
                    <xdr:rowOff>213360</xdr:rowOff>
                  </to>
                </anchor>
              </controlPr>
            </control>
          </mc:Choice>
        </mc:AlternateContent>
        <mc:AlternateContent xmlns:mc="http://schemas.openxmlformats.org/markup-compatibility/2006">
          <mc:Choice Requires="x14">
            <control shapeId="9219" r:id="rId5" name="Scroll Bar 3">
              <controlPr defaultSize="0" autoPict="0">
                <anchor moveWithCells="1">
                  <from>
                    <xdr:col>3</xdr:col>
                    <xdr:colOff>30480</xdr:colOff>
                    <xdr:row>4</xdr:row>
                    <xdr:rowOff>38100</xdr:rowOff>
                  </from>
                  <to>
                    <xdr:col>3</xdr:col>
                    <xdr:colOff>1859280</xdr:colOff>
                    <xdr:row>4</xdr:row>
                    <xdr:rowOff>213360</xdr:rowOff>
                  </to>
                </anchor>
              </controlPr>
            </control>
          </mc:Choice>
        </mc:AlternateContent>
        <mc:AlternateContent xmlns:mc="http://schemas.openxmlformats.org/markup-compatibility/2006">
          <mc:Choice Requires="x14">
            <control shapeId="9222" r:id="rId6" name="Scroll Bar 6">
              <controlPr defaultSize="0" autoPict="0">
                <anchor moveWithCells="1">
                  <from>
                    <xdr:col>3</xdr:col>
                    <xdr:colOff>30480</xdr:colOff>
                    <xdr:row>8</xdr:row>
                    <xdr:rowOff>38100</xdr:rowOff>
                  </from>
                  <to>
                    <xdr:col>3</xdr:col>
                    <xdr:colOff>1859280</xdr:colOff>
                    <xdr:row>8</xdr:row>
                    <xdr:rowOff>213360</xdr:rowOff>
                  </to>
                </anchor>
              </controlPr>
            </control>
          </mc:Choice>
        </mc:AlternateContent>
        <mc:AlternateContent xmlns:mc="http://schemas.openxmlformats.org/markup-compatibility/2006">
          <mc:Choice Requires="x14">
            <control shapeId="9223" r:id="rId7" name="Scroll Bar 7">
              <controlPr defaultSize="0" autoPict="0">
                <anchor moveWithCells="1">
                  <from>
                    <xdr:col>3</xdr:col>
                    <xdr:colOff>30480</xdr:colOff>
                    <xdr:row>9</xdr:row>
                    <xdr:rowOff>38100</xdr:rowOff>
                  </from>
                  <to>
                    <xdr:col>3</xdr:col>
                    <xdr:colOff>1859280</xdr:colOff>
                    <xdr:row>9</xdr:row>
                    <xdr:rowOff>213360</xdr:rowOff>
                  </to>
                </anchor>
              </controlPr>
            </control>
          </mc:Choice>
        </mc:AlternateContent>
        <mc:AlternateContent xmlns:mc="http://schemas.openxmlformats.org/markup-compatibility/2006">
          <mc:Choice Requires="x14">
            <control shapeId="9224" r:id="rId8" name="Scroll Bar 8">
              <controlPr defaultSize="0" autoPict="0">
                <anchor moveWithCells="1">
                  <from>
                    <xdr:col>3</xdr:col>
                    <xdr:colOff>30480</xdr:colOff>
                    <xdr:row>12</xdr:row>
                    <xdr:rowOff>38100</xdr:rowOff>
                  </from>
                  <to>
                    <xdr:col>3</xdr:col>
                    <xdr:colOff>1859280</xdr:colOff>
                    <xdr:row>12</xdr:row>
                    <xdr:rowOff>213360</xdr:rowOff>
                  </to>
                </anchor>
              </controlPr>
            </control>
          </mc:Choice>
        </mc:AlternateContent>
        <mc:AlternateContent xmlns:mc="http://schemas.openxmlformats.org/markup-compatibility/2006">
          <mc:Choice Requires="x14">
            <control shapeId="9225" r:id="rId9" name="Scroll Bar 9">
              <controlPr defaultSize="0" autoPict="0">
                <anchor moveWithCells="1">
                  <from>
                    <xdr:col>3</xdr:col>
                    <xdr:colOff>30480</xdr:colOff>
                    <xdr:row>13</xdr:row>
                    <xdr:rowOff>38100</xdr:rowOff>
                  </from>
                  <to>
                    <xdr:col>3</xdr:col>
                    <xdr:colOff>1859280</xdr:colOff>
                    <xdr:row>13</xdr:row>
                    <xdr:rowOff>213360</xdr:rowOff>
                  </to>
                </anchor>
              </controlPr>
            </control>
          </mc:Choice>
        </mc:AlternateContent>
        <mc:AlternateContent xmlns:mc="http://schemas.openxmlformats.org/markup-compatibility/2006">
          <mc:Choice Requires="x14">
            <control shapeId="9226" r:id="rId10" name="Scroll Bar 10">
              <controlPr defaultSize="0" autoPict="0">
                <anchor moveWithCells="1">
                  <from>
                    <xdr:col>3</xdr:col>
                    <xdr:colOff>30480</xdr:colOff>
                    <xdr:row>14</xdr:row>
                    <xdr:rowOff>38100</xdr:rowOff>
                  </from>
                  <to>
                    <xdr:col>3</xdr:col>
                    <xdr:colOff>1859280</xdr:colOff>
                    <xdr:row>14</xdr:row>
                    <xdr:rowOff>213360</xdr:rowOff>
                  </to>
                </anchor>
              </controlPr>
            </control>
          </mc:Choice>
        </mc:AlternateContent>
        <mc:AlternateContent xmlns:mc="http://schemas.openxmlformats.org/markup-compatibility/2006">
          <mc:Choice Requires="x14">
            <control shapeId="9227" r:id="rId11" name="Scroll Bar 11">
              <controlPr defaultSize="0" autoPict="0">
                <anchor moveWithCells="1">
                  <from>
                    <xdr:col>3</xdr:col>
                    <xdr:colOff>30480</xdr:colOff>
                    <xdr:row>17</xdr:row>
                    <xdr:rowOff>38100</xdr:rowOff>
                  </from>
                  <to>
                    <xdr:col>3</xdr:col>
                    <xdr:colOff>1859280</xdr:colOff>
                    <xdr:row>17</xdr:row>
                    <xdr:rowOff>213360</xdr:rowOff>
                  </to>
                </anchor>
              </controlPr>
            </control>
          </mc:Choice>
        </mc:AlternateContent>
        <mc:AlternateContent xmlns:mc="http://schemas.openxmlformats.org/markup-compatibility/2006">
          <mc:Choice Requires="x14">
            <control shapeId="9228" r:id="rId12" name="Scroll Bar 12">
              <controlPr defaultSize="0" autoPict="0">
                <anchor moveWithCells="1">
                  <from>
                    <xdr:col>3</xdr:col>
                    <xdr:colOff>30480</xdr:colOff>
                    <xdr:row>18</xdr:row>
                    <xdr:rowOff>38100</xdr:rowOff>
                  </from>
                  <to>
                    <xdr:col>3</xdr:col>
                    <xdr:colOff>1859280</xdr:colOff>
                    <xdr:row>18</xdr:row>
                    <xdr:rowOff>213360</xdr:rowOff>
                  </to>
                </anchor>
              </controlPr>
            </control>
          </mc:Choice>
        </mc:AlternateContent>
        <mc:AlternateContent xmlns:mc="http://schemas.openxmlformats.org/markup-compatibility/2006">
          <mc:Choice Requires="x14">
            <control shapeId="9229" r:id="rId13" name="Scroll Bar 13">
              <controlPr defaultSize="0" autoPict="0">
                <anchor moveWithCells="1">
                  <from>
                    <xdr:col>3</xdr:col>
                    <xdr:colOff>30480</xdr:colOff>
                    <xdr:row>19</xdr:row>
                    <xdr:rowOff>38100</xdr:rowOff>
                  </from>
                  <to>
                    <xdr:col>3</xdr:col>
                    <xdr:colOff>1859280</xdr:colOff>
                    <xdr:row>19</xdr:row>
                    <xdr:rowOff>213360</xdr:rowOff>
                  </to>
                </anchor>
              </controlPr>
            </control>
          </mc:Choice>
        </mc:AlternateContent>
        <mc:AlternateContent xmlns:mc="http://schemas.openxmlformats.org/markup-compatibility/2006">
          <mc:Choice Requires="x14">
            <control shapeId="9230" r:id="rId14" name="Scroll Bar 14">
              <controlPr defaultSize="0" autoPict="0">
                <anchor moveWithCells="1">
                  <from>
                    <xdr:col>3</xdr:col>
                    <xdr:colOff>30480</xdr:colOff>
                    <xdr:row>22</xdr:row>
                    <xdr:rowOff>38100</xdr:rowOff>
                  </from>
                  <to>
                    <xdr:col>3</xdr:col>
                    <xdr:colOff>1859280</xdr:colOff>
                    <xdr:row>22</xdr:row>
                    <xdr:rowOff>213360</xdr:rowOff>
                  </to>
                </anchor>
              </controlPr>
            </control>
          </mc:Choice>
        </mc:AlternateContent>
        <mc:AlternateContent xmlns:mc="http://schemas.openxmlformats.org/markup-compatibility/2006">
          <mc:Choice Requires="x14">
            <control shapeId="9231" r:id="rId15" name="Scroll Bar 15">
              <controlPr defaultSize="0" autoPict="0">
                <anchor moveWithCells="1">
                  <from>
                    <xdr:col>3</xdr:col>
                    <xdr:colOff>30480</xdr:colOff>
                    <xdr:row>23</xdr:row>
                    <xdr:rowOff>38100</xdr:rowOff>
                  </from>
                  <to>
                    <xdr:col>3</xdr:col>
                    <xdr:colOff>1859280</xdr:colOff>
                    <xdr:row>23</xdr:row>
                    <xdr:rowOff>213360</xdr:rowOff>
                  </to>
                </anchor>
              </controlPr>
            </control>
          </mc:Choice>
        </mc:AlternateContent>
        <mc:AlternateContent xmlns:mc="http://schemas.openxmlformats.org/markup-compatibility/2006">
          <mc:Choice Requires="x14">
            <control shapeId="9232" r:id="rId16" name="Scroll Bar 16">
              <controlPr defaultSize="0" autoPict="0">
                <anchor moveWithCells="1">
                  <from>
                    <xdr:col>3</xdr:col>
                    <xdr:colOff>30480</xdr:colOff>
                    <xdr:row>26</xdr:row>
                    <xdr:rowOff>38100</xdr:rowOff>
                  </from>
                  <to>
                    <xdr:col>3</xdr:col>
                    <xdr:colOff>1859280</xdr:colOff>
                    <xdr:row>26</xdr:row>
                    <xdr:rowOff>213360</xdr:rowOff>
                  </to>
                </anchor>
              </controlPr>
            </control>
          </mc:Choice>
        </mc:AlternateContent>
        <mc:AlternateContent xmlns:mc="http://schemas.openxmlformats.org/markup-compatibility/2006">
          <mc:Choice Requires="x14">
            <control shapeId="9233" r:id="rId17" name="Scroll Bar 17">
              <controlPr defaultSize="0" autoPict="0">
                <anchor moveWithCells="1">
                  <from>
                    <xdr:col>3</xdr:col>
                    <xdr:colOff>30480</xdr:colOff>
                    <xdr:row>27</xdr:row>
                    <xdr:rowOff>38100</xdr:rowOff>
                  </from>
                  <to>
                    <xdr:col>3</xdr:col>
                    <xdr:colOff>1859280</xdr:colOff>
                    <xdr:row>27</xdr:row>
                    <xdr:rowOff>213360</xdr:rowOff>
                  </to>
                </anchor>
              </controlPr>
            </control>
          </mc:Choice>
        </mc:AlternateContent>
        <mc:AlternateContent xmlns:mc="http://schemas.openxmlformats.org/markup-compatibility/2006">
          <mc:Choice Requires="x14">
            <control shapeId="9234" r:id="rId18" name="Scroll Bar 18">
              <controlPr defaultSize="0" autoPict="0">
                <anchor moveWithCells="1">
                  <from>
                    <xdr:col>3</xdr:col>
                    <xdr:colOff>30480</xdr:colOff>
                    <xdr:row>30</xdr:row>
                    <xdr:rowOff>38100</xdr:rowOff>
                  </from>
                  <to>
                    <xdr:col>3</xdr:col>
                    <xdr:colOff>1859280</xdr:colOff>
                    <xdr:row>30</xdr:row>
                    <xdr:rowOff>213360</xdr:rowOff>
                  </to>
                </anchor>
              </controlPr>
            </control>
          </mc:Choice>
        </mc:AlternateContent>
        <mc:AlternateContent xmlns:mc="http://schemas.openxmlformats.org/markup-compatibility/2006">
          <mc:Choice Requires="x14">
            <control shapeId="9235" r:id="rId19" name="Scroll Bar 19">
              <controlPr defaultSize="0" autoPict="0">
                <anchor moveWithCells="1">
                  <from>
                    <xdr:col>3</xdr:col>
                    <xdr:colOff>30480</xdr:colOff>
                    <xdr:row>31</xdr:row>
                    <xdr:rowOff>38100</xdr:rowOff>
                  </from>
                  <to>
                    <xdr:col>3</xdr:col>
                    <xdr:colOff>1859280</xdr:colOff>
                    <xdr:row>31</xdr:row>
                    <xdr:rowOff>213360</xdr:rowOff>
                  </to>
                </anchor>
              </controlPr>
            </control>
          </mc:Choice>
        </mc:AlternateContent>
        <mc:AlternateContent xmlns:mc="http://schemas.openxmlformats.org/markup-compatibility/2006">
          <mc:Choice Requires="x14">
            <control shapeId="9236" r:id="rId20" name="Scroll Bar 20">
              <controlPr defaultSize="0" autoPict="0">
                <anchor moveWithCells="1">
                  <from>
                    <xdr:col>3</xdr:col>
                    <xdr:colOff>30480</xdr:colOff>
                    <xdr:row>32</xdr:row>
                    <xdr:rowOff>38100</xdr:rowOff>
                  </from>
                  <to>
                    <xdr:col>3</xdr:col>
                    <xdr:colOff>1859280</xdr:colOff>
                    <xdr:row>32</xdr:row>
                    <xdr:rowOff>213360</xdr:rowOff>
                  </to>
                </anchor>
              </controlPr>
            </control>
          </mc:Choice>
        </mc:AlternateContent>
        <mc:AlternateContent xmlns:mc="http://schemas.openxmlformats.org/markup-compatibility/2006">
          <mc:Choice Requires="x14">
            <control shapeId="9237" r:id="rId21" name="Drop Down 21">
              <controlPr defaultSize="0" autoLine="0" autoPict="0">
                <anchor moveWithCells="1">
                  <from>
                    <xdr:col>3</xdr:col>
                    <xdr:colOff>22860</xdr:colOff>
                    <xdr:row>5</xdr:row>
                    <xdr:rowOff>7620</xdr:rowOff>
                  </from>
                  <to>
                    <xdr:col>3</xdr:col>
                    <xdr:colOff>1874520</xdr:colOff>
                    <xdr:row>5</xdr:row>
                    <xdr:rowOff>228600</xdr:rowOff>
                  </to>
                </anchor>
              </controlPr>
            </control>
          </mc:Choice>
        </mc:AlternateContent>
        <mc:AlternateContent xmlns:mc="http://schemas.openxmlformats.org/markup-compatibility/2006">
          <mc:Choice Requires="x14">
            <control shapeId="9238" r:id="rId22" name="Drop Down 22">
              <controlPr defaultSize="0" autoLine="0" autoPict="0">
                <anchor moveWithCells="1">
                  <from>
                    <xdr:col>3</xdr:col>
                    <xdr:colOff>22860</xdr:colOff>
                    <xdr:row>6</xdr:row>
                    <xdr:rowOff>7620</xdr:rowOff>
                  </from>
                  <to>
                    <xdr:col>3</xdr:col>
                    <xdr:colOff>1874520</xdr:colOff>
                    <xdr:row>6</xdr:row>
                    <xdr:rowOff>228600</xdr:rowOff>
                  </to>
                </anchor>
              </controlPr>
            </control>
          </mc:Choice>
        </mc:AlternateContent>
        <mc:AlternateContent xmlns:mc="http://schemas.openxmlformats.org/markup-compatibility/2006">
          <mc:Choice Requires="x14">
            <control shapeId="9239" r:id="rId23" name="Check Box 23">
              <controlPr defaultSize="0" autoFill="0" autoLine="0" autoPict="0" altText="">
                <anchor moveWithCells="1">
                  <from>
                    <xdr:col>6</xdr:col>
                    <xdr:colOff>236220</xdr:colOff>
                    <xdr:row>4</xdr:row>
                    <xdr:rowOff>30480</xdr:rowOff>
                  </from>
                  <to>
                    <xdr:col>6</xdr:col>
                    <xdr:colOff>541020</xdr:colOff>
                    <xdr:row>5</xdr:row>
                    <xdr:rowOff>0</xdr:rowOff>
                  </to>
                </anchor>
              </controlPr>
            </control>
          </mc:Choice>
        </mc:AlternateContent>
        <mc:AlternateContent xmlns:mc="http://schemas.openxmlformats.org/markup-compatibility/2006">
          <mc:Choice Requires="x14">
            <control shapeId="9245" r:id="rId24" name="Check Box 29">
              <controlPr defaultSize="0" autoFill="0" autoLine="0" autoPict="0" altText="">
                <anchor moveWithCells="1">
                  <from>
                    <xdr:col>6</xdr:col>
                    <xdr:colOff>236220</xdr:colOff>
                    <xdr:row>5</xdr:row>
                    <xdr:rowOff>30480</xdr:rowOff>
                  </from>
                  <to>
                    <xdr:col>6</xdr:col>
                    <xdr:colOff>541020</xdr:colOff>
                    <xdr:row>6</xdr:row>
                    <xdr:rowOff>0</xdr:rowOff>
                  </to>
                </anchor>
              </controlPr>
            </control>
          </mc:Choice>
        </mc:AlternateContent>
        <mc:AlternateContent xmlns:mc="http://schemas.openxmlformats.org/markup-compatibility/2006">
          <mc:Choice Requires="x14">
            <control shapeId="9246" r:id="rId25" name="Check Box 30">
              <controlPr defaultSize="0" autoFill="0" autoLine="0" autoPict="0" altText="">
                <anchor moveWithCells="1">
                  <from>
                    <xdr:col>6</xdr:col>
                    <xdr:colOff>236220</xdr:colOff>
                    <xdr:row>6</xdr:row>
                    <xdr:rowOff>30480</xdr:rowOff>
                  </from>
                  <to>
                    <xdr:col>6</xdr:col>
                    <xdr:colOff>541020</xdr:colOff>
                    <xdr:row>7</xdr:row>
                    <xdr:rowOff>0</xdr:rowOff>
                  </to>
                </anchor>
              </controlPr>
            </control>
          </mc:Choice>
        </mc:AlternateContent>
        <mc:AlternateContent xmlns:mc="http://schemas.openxmlformats.org/markup-compatibility/2006">
          <mc:Choice Requires="x14">
            <control shapeId="9247" r:id="rId26" name="Check Box 31">
              <controlPr defaultSize="0" autoFill="0" autoLine="0" autoPict="0" altText="">
                <anchor moveWithCells="1">
                  <from>
                    <xdr:col>6</xdr:col>
                    <xdr:colOff>236220</xdr:colOff>
                    <xdr:row>7</xdr:row>
                    <xdr:rowOff>30480</xdr:rowOff>
                  </from>
                  <to>
                    <xdr:col>6</xdr:col>
                    <xdr:colOff>541020</xdr:colOff>
                    <xdr:row>8</xdr:row>
                    <xdr:rowOff>0</xdr:rowOff>
                  </to>
                </anchor>
              </controlPr>
            </control>
          </mc:Choice>
        </mc:AlternateContent>
        <mc:AlternateContent xmlns:mc="http://schemas.openxmlformats.org/markup-compatibility/2006">
          <mc:Choice Requires="x14">
            <control shapeId="9248" r:id="rId27" name="Check Box 32">
              <controlPr defaultSize="0" autoFill="0" autoLine="0" autoPict="0" altText="">
                <anchor moveWithCells="1">
                  <from>
                    <xdr:col>6</xdr:col>
                    <xdr:colOff>236220</xdr:colOff>
                    <xdr:row>8</xdr:row>
                    <xdr:rowOff>30480</xdr:rowOff>
                  </from>
                  <to>
                    <xdr:col>6</xdr:col>
                    <xdr:colOff>541020</xdr:colOff>
                    <xdr:row>9</xdr:row>
                    <xdr:rowOff>0</xdr:rowOff>
                  </to>
                </anchor>
              </controlPr>
            </control>
          </mc:Choice>
        </mc:AlternateContent>
        <mc:AlternateContent xmlns:mc="http://schemas.openxmlformats.org/markup-compatibility/2006">
          <mc:Choice Requires="x14">
            <control shapeId="9249" r:id="rId28" name="Scroll Bar 33">
              <controlPr defaultSize="0" autoPict="0">
                <anchor moveWithCells="1">
                  <from>
                    <xdr:col>7</xdr:col>
                    <xdr:colOff>30480</xdr:colOff>
                    <xdr:row>12</xdr:row>
                    <xdr:rowOff>38100</xdr:rowOff>
                  </from>
                  <to>
                    <xdr:col>7</xdr:col>
                    <xdr:colOff>1859280</xdr:colOff>
                    <xdr:row>12</xdr:row>
                    <xdr:rowOff>213360</xdr:rowOff>
                  </to>
                </anchor>
              </controlPr>
            </control>
          </mc:Choice>
        </mc:AlternateContent>
        <mc:AlternateContent xmlns:mc="http://schemas.openxmlformats.org/markup-compatibility/2006">
          <mc:Choice Requires="x14">
            <control shapeId="9251" r:id="rId29" name="Scroll Bar 35">
              <controlPr defaultSize="0" autoPict="0">
                <anchor moveWithCells="1">
                  <from>
                    <xdr:col>7</xdr:col>
                    <xdr:colOff>30480</xdr:colOff>
                    <xdr:row>15</xdr:row>
                    <xdr:rowOff>38100</xdr:rowOff>
                  </from>
                  <to>
                    <xdr:col>7</xdr:col>
                    <xdr:colOff>1859280</xdr:colOff>
                    <xdr:row>15</xdr:row>
                    <xdr:rowOff>213360</xdr:rowOff>
                  </to>
                </anchor>
              </controlPr>
            </control>
          </mc:Choice>
        </mc:AlternateContent>
        <mc:AlternateContent xmlns:mc="http://schemas.openxmlformats.org/markup-compatibility/2006">
          <mc:Choice Requires="x14">
            <control shapeId="9252" r:id="rId30" name="Scroll Bar 36">
              <controlPr defaultSize="0" autoPict="0">
                <anchor moveWithCells="1">
                  <from>
                    <xdr:col>7</xdr:col>
                    <xdr:colOff>30480</xdr:colOff>
                    <xdr:row>16</xdr:row>
                    <xdr:rowOff>38100</xdr:rowOff>
                  </from>
                  <to>
                    <xdr:col>7</xdr:col>
                    <xdr:colOff>1859280</xdr:colOff>
                    <xdr:row>16</xdr:row>
                    <xdr:rowOff>213360</xdr:rowOff>
                  </to>
                </anchor>
              </controlPr>
            </control>
          </mc:Choice>
        </mc:AlternateContent>
        <mc:AlternateContent xmlns:mc="http://schemas.openxmlformats.org/markup-compatibility/2006">
          <mc:Choice Requires="x14">
            <control shapeId="9254" r:id="rId31" name="Scroll Bar 38">
              <controlPr defaultSize="0" autoPict="0">
                <anchor moveWithCells="1">
                  <from>
                    <xdr:col>7</xdr:col>
                    <xdr:colOff>30480</xdr:colOff>
                    <xdr:row>19</xdr:row>
                    <xdr:rowOff>38100</xdr:rowOff>
                  </from>
                  <to>
                    <xdr:col>7</xdr:col>
                    <xdr:colOff>1859280</xdr:colOff>
                    <xdr:row>19</xdr:row>
                    <xdr:rowOff>213360</xdr:rowOff>
                  </to>
                </anchor>
              </controlPr>
            </control>
          </mc:Choice>
        </mc:AlternateContent>
        <mc:AlternateContent xmlns:mc="http://schemas.openxmlformats.org/markup-compatibility/2006">
          <mc:Choice Requires="x14">
            <control shapeId="9256" r:id="rId32" name="Scroll Bar 40">
              <controlPr defaultSize="0" autoPict="0">
                <anchor moveWithCells="1">
                  <from>
                    <xdr:col>7</xdr:col>
                    <xdr:colOff>30480</xdr:colOff>
                    <xdr:row>21</xdr:row>
                    <xdr:rowOff>38100</xdr:rowOff>
                  </from>
                  <to>
                    <xdr:col>7</xdr:col>
                    <xdr:colOff>1859280</xdr:colOff>
                    <xdr:row>21</xdr:row>
                    <xdr:rowOff>213360</xdr:rowOff>
                  </to>
                </anchor>
              </controlPr>
            </control>
          </mc:Choice>
        </mc:AlternateContent>
        <mc:AlternateContent xmlns:mc="http://schemas.openxmlformats.org/markup-compatibility/2006">
          <mc:Choice Requires="x14">
            <control shapeId="9257" r:id="rId33" name="Check Box 41">
              <controlPr defaultSize="0" autoFill="0" autoLine="0" autoPict="0" altText="yes">
                <anchor moveWithCells="1">
                  <from>
                    <xdr:col>6</xdr:col>
                    <xdr:colOff>236220</xdr:colOff>
                    <xdr:row>23</xdr:row>
                    <xdr:rowOff>30480</xdr:rowOff>
                  </from>
                  <to>
                    <xdr:col>6</xdr:col>
                    <xdr:colOff>746760</xdr:colOff>
                    <xdr:row>24</xdr:row>
                    <xdr:rowOff>0</xdr:rowOff>
                  </to>
                </anchor>
              </controlPr>
            </control>
          </mc:Choice>
        </mc:AlternateContent>
        <mc:AlternateContent xmlns:mc="http://schemas.openxmlformats.org/markup-compatibility/2006">
          <mc:Choice Requires="x14">
            <control shapeId="9258" r:id="rId34" name="Check Box 42">
              <controlPr defaultSize="0" autoFill="0" autoLine="0" autoPict="0" altText="yes">
                <anchor moveWithCells="1">
                  <from>
                    <xdr:col>6</xdr:col>
                    <xdr:colOff>236220</xdr:colOff>
                    <xdr:row>25</xdr:row>
                    <xdr:rowOff>30480</xdr:rowOff>
                  </from>
                  <to>
                    <xdr:col>7</xdr:col>
                    <xdr:colOff>0</xdr:colOff>
                    <xdr:row>26</xdr:row>
                    <xdr:rowOff>0</xdr:rowOff>
                  </to>
                </anchor>
              </controlPr>
            </control>
          </mc:Choice>
        </mc:AlternateContent>
        <mc:AlternateContent xmlns:mc="http://schemas.openxmlformats.org/markup-compatibility/2006">
          <mc:Choice Requires="x14">
            <control shapeId="9259" r:id="rId35" name="Check Box 43">
              <controlPr defaultSize="0" autoFill="0" autoLine="0" autoPict="0" altText="yes">
                <anchor moveWithCells="1">
                  <from>
                    <xdr:col>6</xdr:col>
                    <xdr:colOff>236220</xdr:colOff>
                    <xdr:row>26</xdr:row>
                    <xdr:rowOff>30480</xdr:rowOff>
                  </from>
                  <to>
                    <xdr:col>7</xdr:col>
                    <xdr:colOff>0</xdr:colOff>
                    <xdr:row>27</xdr:row>
                    <xdr:rowOff>0</xdr:rowOff>
                  </to>
                </anchor>
              </controlPr>
            </control>
          </mc:Choice>
        </mc:AlternateContent>
        <mc:AlternateContent xmlns:mc="http://schemas.openxmlformats.org/markup-compatibility/2006">
          <mc:Choice Requires="x14">
            <control shapeId="9260" r:id="rId36" name="Check Box 44">
              <controlPr defaultSize="0" autoFill="0" autoLine="0" autoPict="0" altText="yes">
                <anchor moveWithCells="1">
                  <from>
                    <xdr:col>6</xdr:col>
                    <xdr:colOff>236220</xdr:colOff>
                    <xdr:row>27</xdr:row>
                    <xdr:rowOff>30480</xdr:rowOff>
                  </from>
                  <to>
                    <xdr:col>7</xdr:col>
                    <xdr:colOff>0</xdr:colOff>
                    <xdr:row>28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29"/>
  <sheetViews>
    <sheetView workbookViewId="0"/>
  </sheetViews>
  <sheetFormatPr defaultColWidth="9.109375" defaultRowHeight="13.8" x14ac:dyDescent="0.25"/>
  <cols>
    <col min="1" max="1" width="5.6640625" style="2" customWidth="1"/>
    <col min="2" max="2" width="26.109375" style="2" bestFit="1" customWidth="1"/>
    <col min="3" max="3" width="11.88671875" style="2" customWidth="1"/>
    <col min="4" max="4" width="28.44140625" style="2" customWidth="1"/>
    <col min="5" max="5" width="13.33203125" style="2" bestFit="1" customWidth="1"/>
    <col min="6" max="16384" width="9.109375" style="2"/>
  </cols>
  <sheetData>
    <row r="1" spans="2:10" s="1" customFormat="1" ht="24.9" customHeight="1" x14ac:dyDescent="0.4">
      <c r="B1" s="3" t="s">
        <v>4</v>
      </c>
    </row>
    <row r="2" spans="2:10" s="10" customFormat="1" ht="13.2" x14ac:dyDescent="0.25"/>
    <row r="3" spans="2:10" s="10" customFormat="1" ht="13.2" x14ac:dyDescent="0.25">
      <c r="B3" s="17" t="s">
        <v>55</v>
      </c>
    </row>
    <row r="4" spans="2:10" s="10" customFormat="1" ht="13.2" x14ac:dyDescent="0.25">
      <c r="B4" s="16" t="s">
        <v>46</v>
      </c>
      <c r="C4" s="15" t="s">
        <v>53</v>
      </c>
      <c r="E4" s="15" t="s">
        <v>54</v>
      </c>
    </row>
    <row r="5" spans="2:10" s="10" customFormat="1" ht="20.100000000000001" customHeight="1" x14ac:dyDescent="0.25">
      <c r="B5" s="25" t="s">
        <v>47</v>
      </c>
      <c r="C5" s="24">
        <v>100</v>
      </c>
      <c r="D5" s="21"/>
      <c r="E5" s="24">
        <f>100-C5</f>
        <v>0</v>
      </c>
    </row>
    <row r="6" spans="2:10" s="10" customFormat="1" ht="20.100000000000001" customHeight="1" x14ac:dyDescent="0.25">
      <c r="B6" s="25" t="s">
        <v>48</v>
      </c>
      <c r="C6" s="24">
        <v>100</v>
      </c>
      <c r="D6" s="21"/>
      <c r="E6" s="24">
        <f t="shared" ref="E6:E12" si="0">100-C6</f>
        <v>0</v>
      </c>
    </row>
    <row r="7" spans="2:10" s="10" customFormat="1" ht="20.100000000000001" customHeight="1" x14ac:dyDescent="0.25">
      <c r="B7" s="26" t="s">
        <v>100</v>
      </c>
      <c r="C7" s="24">
        <v>100</v>
      </c>
      <c r="D7" s="21"/>
      <c r="E7" s="24">
        <f t="shared" si="0"/>
        <v>0</v>
      </c>
    </row>
    <row r="8" spans="2:10" s="10" customFormat="1" ht="20.100000000000001" customHeight="1" x14ac:dyDescent="0.25">
      <c r="B8" s="25" t="s">
        <v>49</v>
      </c>
      <c r="C8" s="24">
        <v>100</v>
      </c>
      <c r="D8" s="21"/>
      <c r="E8" s="24">
        <f t="shared" si="0"/>
        <v>0</v>
      </c>
    </row>
    <row r="9" spans="2:10" s="10" customFormat="1" ht="20.100000000000001" customHeight="1" x14ac:dyDescent="0.25">
      <c r="B9" s="25" t="s">
        <v>50</v>
      </c>
      <c r="C9" s="24">
        <v>100</v>
      </c>
      <c r="D9" s="21"/>
      <c r="E9" s="24">
        <f t="shared" si="0"/>
        <v>0</v>
      </c>
    </row>
    <row r="10" spans="2:10" s="10" customFormat="1" ht="20.100000000000001" customHeight="1" x14ac:dyDescent="0.25">
      <c r="B10" s="25" t="s">
        <v>51</v>
      </c>
      <c r="C10" s="24">
        <v>100</v>
      </c>
      <c r="D10" s="21"/>
      <c r="E10" s="24">
        <f t="shared" si="0"/>
        <v>0</v>
      </c>
    </row>
    <row r="11" spans="2:10" s="10" customFormat="1" ht="20.100000000000001" customHeight="1" x14ac:dyDescent="0.25">
      <c r="B11" s="25" t="s">
        <v>44</v>
      </c>
      <c r="C11" s="24">
        <v>100</v>
      </c>
      <c r="D11" s="21"/>
      <c r="E11" s="24">
        <f t="shared" si="0"/>
        <v>0</v>
      </c>
    </row>
    <row r="12" spans="2:10" s="10" customFormat="1" ht="20.100000000000001" customHeight="1" x14ac:dyDescent="0.25">
      <c r="B12" s="25" t="s">
        <v>52</v>
      </c>
      <c r="C12" s="24">
        <v>100</v>
      </c>
      <c r="D12" s="21"/>
      <c r="E12" s="24">
        <f t="shared" si="0"/>
        <v>0</v>
      </c>
    </row>
    <row r="13" spans="2:10" s="10" customFormat="1" ht="13.2" x14ac:dyDescent="0.25">
      <c r="J13" s="10" t="s">
        <v>240</v>
      </c>
    </row>
    <row r="14" spans="2:10" s="10" customFormat="1" ht="13.2" x14ac:dyDescent="0.25"/>
    <row r="15" spans="2:10" s="10" customFormat="1" ht="13.2" x14ac:dyDescent="0.25">
      <c r="B15" s="17" t="s">
        <v>56</v>
      </c>
    </row>
    <row r="16" spans="2:10" s="10" customFormat="1" ht="13.2" x14ac:dyDescent="0.25">
      <c r="B16" s="16" t="s">
        <v>46</v>
      </c>
      <c r="C16" s="15" t="s">
        <v>53</v>
      </c>
      <c r="E16" s="15" t="s">
        <v>54</v>
      </c>
    </row>
    <row r="17" spans="2:5" s="10" customFormat="1" ht="20.100000000000001" customHeight="1" x14ac:dyDescent="0.25">
      <c r="B17" s="25" t="s">
        <v>47</v>
      </c>
      <c r="C17" s="24">
        <v>100</v>
      </c>
      <c r="D17" s="21"/>
      <c r="E17" s="24">
        <f t="shared" ref="E17:E24" si="1">100-C17</f>
        <v>0</v>
      </c>
    </row>
    <row r="18" spans="2:5" s="10" customFormat="1" ht="20.100000000000001" customHeight="1" x14ac:dyDescent="0.25">
      <c r="B18" s="25" t="s">
        <v>57</v>
      </c>
      <c r="C18" s="24">
        <v>100</v>
      </c>
      <c r="D18" s="21"/>
      <c r="E18" s="24">
        <f t="shared" si="1"/>
        <v>0</v>
      </c>
    </row>
    <row r="19" spans="2:5" s="10" customFormat="1" ht="20.100000000000001" customHeight="1" x14ac:dyDescent="0.25">
      <c r="B19" s="26" t="s">
        <v>58</v>
      </c>
      <c r="C19" s="24">
        <v>100</v>
      </c>
      <c r="D19" s="21"/>
      <c r="E19" s="24">
        <f t="shared" si="1"/>
        <v>0</v>
      </c>
    </row>
    <row r="20" spans="2:5" s="10" customFormat="1" ht="20.100000000000001" customHeight="1" x14ac:dyDescent="0.25">
      <c r="B20" s="25" t="s">
        <v>59</v>
      </c>
      <c r="C20" s="24">
        <v>100</v>
      </c>
      <c r="D20" s="21"/>
      <c r="E20" s="24">
        <f t="shared" si="1"/>
        <v>0</v>
      </c>
    </row>
    <row r="21" spans="2:5" s="10" customFormat="1" ht="20.100000000000001" customHeight="1" x14ac:dyDescent="0.25">
      <c r="B21" s="25" t="s">
        <v>60</v>
      </c>
      <c r="C21" s="24">
        <v>100</v>
      </c>
      <c r="D21" s="21"/>
      <c r="E21" s="24">
        <f t="shared" si="1"/>
        <v>0</v>
      </c>
    </row>
    <row r="22" spans="2:5" s="10" customFormat="1" ht="20.100000000000001" customHeight="1" x14ac:dyDescent="0.25">
      <c r="B22" s="25" t="s">
        <v>61</v>
      </c>
      <c r="C22" s="24">
        <v>100</v>
      </c>
      <c r="D22" s="21"/>
      <c r="E22" s="24">
        <f t="shared" si="1"/>
        <v>0</v>
      </c>
    </row>
    <row r="23" spans="2:5" s="10" customFormat="1" ht="20.100000000000001" customHeight="1" x14ac:dyDescent="0.25">
      <c r="B23" s="25" t="s">
        <v>62</v>
      </c>
      <c r="C23" s="24">
        <v>100</v>
      </c>
      <c r="D23" s="21"/>
      <c r="E23" s="24">
        <f t="shared" si="1"/>
        <v>0</v>
      </c>
    </row>
    <row r="24" spans="2:5" s="10" customFormat="1" ht="20.100000000000001" customHeight="1" x14ac:dyDescent="0.25">
      <c r="B24" s="25" t="s">
        <v>52</v>
      </c>
      <c r="C24" s="24">
        <v>100</v>
      </c>
      <c r="D24" s="21"/>
      <c r="E24" s="24">
        <f t="shared" si="1"/>
        <v>0</v>
      </c>
    </row>
    <row r="25" spans="2:5" s="10" customFormat="1" ht="13.2" x14ac:dyDescent="0.25"/>
    <row r="26" spans="2:5" s="10" customFormat="1" ht="13.2" x14ac:dyDescent="0.25"/>
    <row r="27" spans="2:5" s="10" customFormat="1" ht="13.2" x14ac:dyDescent="0.25"/>
    <row r="28" spans="2:5" s="10" customFormat="1" ht="13.2" x14ac:dyDescent="0.25"/>
    <row r="29" spans="2:5" s="10" customFormat="1" ht="13.2" x14ac:dyDescent="0.25"/>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7169" r:id="rId3" name="Scroll Bar 1">
              <controlPr defaultSize="0" autoPict="0">
                <anchor moveWithCells="1">
                  <from>
                    <xdr:col>3</xdr:col>
                    <xdr:colOff>38100</xdr:colOff>
                    <xdr:row>4</xdr:row>
                    <xdr:rowOff>45720</xdr:rowOff>
                  </from>
                  <to>
                    <xdr:col>3</xdr:col>
                    <xdr:colOff>1866900</xdr:colOff>
                    <xdr:row>4</xdr:row>
                    <xdr:rowOff>220980</xdr:rowOff>
                  </to>
                </anchor>
              </controlPr>
            </control>
          </mc:Choice>
        </mc:AlternateContent>
        <mc:AlternateContent xmlns:mc="http://schemas.openxmlformats.org/markup-compatibility/2006">
          <mc:Choice Requires="x14">
            <control shapeId="7170" r:id="rId4" name="Scroll Bar 2">
              <controlPr defaultSize="0" autoPict="0">
                <anchor moveWithCells="1">
                  <from>
                    <xdr:col>3</xdr:col>
                    <xdr:colOff>30480</xdr:colOff>
                    <xdr:row>5</xdr:row>
                    <xdr:rowOff>45720</xdr:rowOff>
                  </from>
                  <to>
                    <xdr:col>3</xdr:col>
                    <xdr:colOff>1859280</xdr:colOff>
                    <xdr:row>5</xdr:row>
                    <xdr:rowOff>220980</xdr:rowOff>
                  </to>
                </anchor>
              </controlPr>
            </control>
          </mc:Choice>
        </mc:AlternateContent>
        <mc:AlternateContent xmlns:mc="http://schemas.openxmlformats.org/markup-compatibility/2006">
          <mc:Choice Requires="x14">
            <control shapeId="7171" r:id="rId5" name="Scroll Bar 3">
              <controlPr defaultSize="0" autoPict="0">
                <anchor moveWithCells="1">
                  <from>
                    <xdr:col>3</xdr:col>
                    <xdr:colOff>30480</xdr:colOff>
                    <xdr:row>6</xdr:row>
                    <xdr:rowOff>30480</xdr:rowOff>
                  </from>
                  <to>
                    <xdr:col>3</xdr:col>
                    <xdr:colOff>1859280</xdr:colOff>
                    <xdr:row>6</xdr:row>
                    <xdr:rowOff>198120</xdr:rowOff>
                  </to>
                </anchor>
              </controlPr>
            </control>
          </mc:Choice>
        </mc:AlternateContent>
        <mc:AlternateContent xmlns:mc="http://schemas.openxmlformats.org/markup-compatibility/2006">
          <mc:Choice Requires="x14">
            <control shapeId="7172" r:id="rId6" name="Scroll Bar 4">
              <controlPr defaultSize="0" autoPict="0">
                <anchor moveWithCells="1">
                  <from>
                    <xdr:col>3</xdr:col>
                    <xdr:colOff>30480</xdr:colOff>
                    <xdr:row>7</xdr:row>
                    <xdr:rowOff>38100</xdr:rowOff>
                  </from>
                  <to>
                    <xdr:col>3</xdr:col>
                    <xdr:colOff>1859280</xdr:colOff>
                    <xdr:row>7</xdr:row>
                    <xdr:rowOff>213360</xdr:rowOff>
                  </to>
                </anchor>
              </controlPr>
            </control>
          </mc:Choice>
        </mc:AlternateContent>
        <mc:AlternateContent xmlns:mc="http://schemas.openxmlformats.org/markup-compatibility/2006">
          <mc:Choice Requires="x14">
            <control shapeId="7173" r:id="rId7" name="Scroll Bar 5">
              <controlPr defaultSize="0" autoPict="0">
                <anchor moveWithCells="1">
                  <from>
                    <xdr:col>3</xdr:col>
                    <xdr:colOff>30480</xdr:colOff>
                    <xdr:row>8</xdr:row>
                    <xdr:rowOff>38100</xdr:rowOff>
                  </from>
                  <to>
                    <xdr:col>3</xdr:col>
                    <xdr:colOff>1859280</xdr:colOff>
                    <xdr:row>8</xdr:row>
                    <xdr:rowOff>213360</xdr:rowOff>
                  </to>
                </anchor>
              </controlPr>
            </control>
          </mc:Choice>
        </mc:AlternateContent>
        <mc:AlternateContent xmlns:mc="http://schemas.openxmlformats.org/markup-compatibility/2006">
          <mc:Choice Requires="x14">
            <control shapeId="7174" r:id="rId8" name="Scroll Bar 6">
              <controlPr defaultSize="0" autoPict="0">
                <anchor moveWithCells="1">
                  <from>
                    <xdr:col>3</xdr:col>
                    <xdr:colOff>30480</xdr:colOff>
                    <xdr:row>9</xdr:row>
                    <xdr:rowOff>45720</xdr:rowOff>
                  </from>
                  <to>
                    <xdr:col>3</xdr:col>
                    <xdr:colOff>1859280</xdr:colOff>
                    <xdr:row>9</xdr:row>
                    <xdr:rowOff>220980</xdr:rowOff>
                  </to>
                </anchor>
              </controlPr>
            </control>
          </mc:Choice>
        </mc:AlternateContent>
        <mc:AlternateContent xmlns:mc="http://schemas.openxmlformats.org/markup-compatibility/2006">
          <mc:Choice Requires="x14">
            <control shapeId="7175" r:id="rId9" name="Scroll Bar 7">
              <controlPr defaultSize="0" autoPict="0">
                <anchor moveWithCells="1">
                  <from>
                    <xdr:col>3</xdr:col>
                    <xdr:colOff>30480</xdr:colOff>
                    <xdr:row>10</xdr:row>
                    <xdr:rowOff>45720</xdr:rowOff>
                  </from>
                  <to>
                    <xdr:col>3</xdr:col>
                    <xdr:colOff>1859280</xdr:colOff>
                    <xdr:row>10</xdr:row>
                    <xdr:rowOff>220980</xdr:rowOff>
                  </to>
                </anchor>
              </controlPr>
            </control>
          </mc:Choice>
        </mc:AlternateContent>
        <mc:AlternateContent xmlns:mc="http://schemas.openxmlformats.org/markup-compatibility/2006">
          <mc:Choice Requires="x14">
            <control shapeId="7176" r:id="rId10" name="Scroll Bar 8">
              <controlPr defaultSize="0" autoPict="0">
                <anchor moveWithCells="1">
                  <from>
                    <xdr:col>3</xdr:col>
                    <xdr:colOff>30480</xdr:colOff>
                    <xdr:row>11</xdr:row>
                    <xdr:rowOff>30480</xdr:rowOff>
                  </from>
                  <to>
                    <xdr:col>3</xdr:col>
                    <xdr:colOff>1859280</xdr:colOff>
                    <xdr:row>11</xdr:row>
                    <xdr:rowOff>198120</xdr:rowOff>
                  </to>
                </anchor>
              </controlPr>
            </control>
          </mc:Choice>
        </mc:AlternateContent>
        <mc:AlternateContent xmlns:mc="http://schemas.openxmlformats.org/markup-compatibility/2006">
          <mc:Choice Requires="x14">
            <control shapeId="7177" r:id="rId11" name="Scroll Bar 9">
              <controlPr defaultSize="0" autoPict="0">
                <anchor moveWithCells="1">
                  <from>
                    <xdr:col>3</xdr:col>
                    <xdr:colOff>30480</xdr:colOff>
                    <xdr:row>16</xdr:row>
                    <xdr:rowOff>30480</xdr:rowOff>
                  </from>
                  <to>
                    <xdr:col>3</xdr:col>
                    <xdr:colOff>1859280</xdr:colOff>
                    <xdr:row>16</xdr:row>
                    <xdr:rowOff>198120</xdr:rowOff>
                  </to>
                </anchor>
              </controlPr>
            </control>
          </mc:Choice>
        </mc:AlternateContent>
        <mc:AlternateContent xmlns:mc="http://schemas.openxmlformats.org/markup-compatibility/2006">
          <mc:Choice Requires="x14">
            <control shapeId="7178" r:id="rId12" name="Scroll Bar 10">
              <controlPr defaultSize="0" autoPict="0">
                <anchor moveWithCells="1">
                  <from>
                    <xdr:col>3</xdr:col>
                    <xdr:colOff>38100</xdr:colOff>
                    <xdr:row>17</xdr:row>
                    <xdr:rowOff>7620</xdr:rowOff>
                  </from>
                  <to>
                    <xdr:col>3</xdr:col>
                    <xdr:colOff>1866900</xdr:colOff>
                    <xdr:row>17</xdr:row>
                    <xdr:rowOff>182880</xdr:rowOff>
                  </to>
                </anchor>
              </controlPr>
            </control>
          </mc:Choice>
        </mc:AlternateContent>
        <mc:AlternateContent xmlns:mc="http://schemas.openxmlformats.org/markup-compatibility/2006">
          <mc:Choice Requires="x14">
            <control shapeId="7179" r:id="rId13" name="Scroll Bar 11">
              <controlPr defaultSize="0" autoPict="0">
                <anchor moveWithCells="1">
                  <from>
                    <xdr:col>3</xdr:col>
                    <xdr:colOff>30480</xdr:colOff>
                    <xdr:row>18</xdr:row>
                    <xdr:rowOff>30480</xdr:rowOff>
                  </from>
                  <to>
                    <xdr:col>3</xdr:col>
                    <xdr:colOff>1859280</xdr:colOff>
                    <xdr:row>18</xdr:row>
                    <xdr:rowOff>198120</xdr:rowOff>
                  </to>
                </anchor>
              </controlPr>
            </control>
          </mc:Choice>
        </mc:AlternateContent>
        <mc:AlternateContent xmlns:mc="http://schemas.openxmlformats.org/markup-compatibility/2006">
          <mc:Choice Requires="x14">
            <control shapeId="7180" r:id="rId14" name="Scroll Bar 12">
              <controlPr defaultSize="0" autoPict="0">
                <anchor moveWithCells="1">
                  <from>
                    <xdr:col>3</xdr:col>
                    <xdr:colOff>30480</xdr:colOff>
                    <xdr:row>19</xdr:row>
                    <xdr:rowOff>30480</xdr:rowOff>
                  </from>
                  <to>
                    <xdr:col>3</xdr:col>
                    <xdr:colOff>1859280</xdr:colOff>
                    <xdr:row>19</xdr:row>
                    <xdr:rowOff>198120</xdr:rowOff>
                  </to>
                </anchor>
              </controlPr>
            </control>
          </mc:Choice>
        </mc:AlternateContent>
        <mc:AlternateContent xmlns:mc="http://schemas.openxmlformats.org/markup-compatibility/2006">
          <mc:Choice Requires="x14">
            <control shapeId="7181" r:id="rId15" name="Scroll Bar 13">
              <controlPr defaultSize="0" autoPict="0">
                <anchor moveWithCells="1">
                  <from>
                    <xdr:col>3</xdr:col>
                    <xdr:colOff>30480</xdr:colOff>
                    <xdr:row>20</xdr:row>
                    <xdr:rowOff>30480</xdr:rowOff>
                  </from>
                  <to>
                    <xdr:col>3</xdr:col>
                    <xdr:colOff>1859280</xdr:colOff>
                    <xdr:row>20</xdr:row>
                    <xdr:rowOff>198120</xdr:rowOff>
                  </to>
                </anchor>
              </controlPr>
            </control>
          </mc:Choice>
        </mc:AlternateContent>
        <mc:AlternateContent xmlns:mc="http://schemas.openxmlformats.org/markup-compatibility/2006">
          <mc:Choice Requires="x14">
            <control shapeId="7182" r:id="rId16" name="Scroll Bar 14">
              <controlPr defaultSize="0" autoPict="0">
                <anchor moveWithCells="1">
                  <from>
                    <xdr:col>3</xdr:col>
                    <xdr:colOff>30480</xdr:colOff>
                    <xdr:row>21</xdr:row>
                    <xdr:rowOff>30480</xdr:rowOff>
                  </from>
                  <to>
                    <xdr:col>3</xdr:col>
                    <xdr:colOff>1859280</xdr:colOff>
                    <xdr:row>21</xdr:row>
                    <xdr:rowOff>198120</xdr:rowOff>
                  </to>
                </anchor>
              </controlPr>
            </control>
          </mc:Choice>
        </mc:AlternateContent>
        <mc:AlternateContent xmlns:mc="http://schemas.openxmlformats.org/markup-compatibility/2006">
          <mc:Choice Requires="x14">
            <control shapeId="7183" r:id="rId17" name="Scroll Bar 15">
              <controlPr defaultSize="0" autoPict="0">
                <anchor moveWithCells="1">
                  <from>
                    <xdr:col>3</xdr:col>
                    <xdr:colOff>30480</xdr:colOff>
                    <xdr:row>22</xdr:row>
                    <xdr:rowOff>30480</xdr:rowOff>
                  </from>
                  <to>
                    <xdr:col>3</xdr:col>
                    <xdr:colOff>1859280</xdr:colOff>
                    <xdr:row>22</xdr:row>
                    <xdr:rowOff>198120</xdr:rowOff>
                  </to>
                </anchor>
              </controlPr>
            </control>
          </mc:Choice>
        </mc:AlternateContent>
        <mc:AlternateContent xmlns:mc="http://schemas.openxmlformats.org/markup-compatibility/2006">
          <mc:Choice Requires="x14">
            <control shapeId="7184" r:id="rId18" name="Scroll Bar 16">
              <controlPr defaultSize="0" autoPict="0">
                <anchor moveWithCells="1">
                  <from>
                    <xdr:col>3</xdr:col>
                    <xdr:colOff>30480</xdr:colOff>
                    <xdr:row>23</xdr:row>
                    <xdr:rowOff>30480</xdr:rowOff>
                  </from>
                  <to>
                    <xdr:col>3</xdr:col>
                    <xdr:colOff>1859280</xdr:colOff>
                    <xdr:row>23</xdr:row>
                    <xdr:rowOff>198120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9"/>
  <sheetViews>
    <sheetView workbookViewId="0"/>
  </sheetViews>
  <sheetFormatPr defaultColWidth="9.109375" defaultRowHeight="13.8" x14ac:dyDescent="0.25"/>
  <cols>
    <col min="1" max="1" width="5.6640625" style="2" customWidth="1"/>
    <col min="2" max="2" width="49.6640625" style="2" bestFit="1" customWidth="1"/>
    <col min="3" max="4" width="19.44140625" style="2" customWidth="1"/>
    <col min="5" max="5" width="21" style="2" customWidth="1"/>
    <col min="6" max="6" width="16.88671875" style="2" customWidth="1"/>
    <col min="7" max="7" width="49.6640625" style="2" customWidth="1"/>
    <col min="8" max="8" width="9.109375" style="2"/>
    <col min="9" max="9" width="10.33203125" style="2" customWidth="1"/>
    <col min="10" max="14" width="9.109375" style="2"/>
    <col min="15" max="15" width="10.109375" style="2" bestFit="1" customWidth="1"/>
    <col min="16" max="22" width="9.109375" style="2"/>
    <col min="23" max="23" width="20.33203125" style="2" bestFit="1" customWidth="1"/>
    <col min="24" max="16384" width="9.109375" style="2"/>
  </cols>
  <sheetData>
    <row r="1" spans="2:7" s="1" customFormat="1" ht="24.9" customHeight="1" x14ac:dyDescent="0.4">
      <c r="B1" s="3" t="s">
        <v>86</v>
      </c>
      <c r="C1" s="3"/>
      <c r="D1" s="3"/>
      <c r="E1" s="3"/>
      <c r="F1" s="3"/>
      <c r="G1" s="3"/>
    </row>
    <row r="2" spans="2:7" ht="13.5" customHeight="1" x14ac:dyDescent="0.4">
      <c r="B2" s="37"/>
      <c r="C2" s="37"/>
      <c r="D2" s="37"/>
      <c r="E2" s="37"/>
      <c r="F2" s="37"/>
      <c r="G2" s="37"/>
    </row>
    <row r="3" spans="2:7" ht="15" customHeight="1" x14ac:dyDescent="0.4">
      <c r="B3" s="38" t="s">
        <v>199</v>
      </c>
      <c r="C3" s="36"/>
      <c r="D3" s="37"/>
      <c r="E3" s="37"/>
      <c r="F3" s="37"/>
      <c r="G3" s="37"/>
    </row>
    <row r="4" spans="2:7" x14ac:dyDescent="0.25">
      <c r="B4" s="50" t="s">
        <v>155</v>
      </c>
      <c r="C4" s="50">
        <f>'Cost Drivers'!C4</f>
        <v>150</v>
      </c>
    </row>
    <row r="5" spans="2:7" x14ac:dyDescent="0.25">
      <c r="B5" s="50" t="s">
        <v>156</v>
      </c>
      <c r="C5" s="50">
        <f>'Cost Drivers'!D54</f>
        <v>3</v>
      </c>
    </row>
    <row r="6" spans="2:7" x14ac:dyDescent="0.25">
      <c r="B6" s="50" t="s">
        <v>157</v>
      </c>
      <c r="C6" s="50">
        <f>ROUNDUP('Cost Drivers'!V62/1440,0)</f>
        <v>19</v>
      </c>
    </row>
    <row r="7" spans="2:7" x14ac:dyDescent="0.25">
      <c r="B7" s="50" t="s">
        <v>232</v>
      </c>
      <c r="C7" s="50">
        <f>'Cost Drivers'!I42</f>
        <v>4800</v>
      </c>
    </row>
    <row r="8" spans="2:7" x14ac:dyDescent="0.25">
      <c r="B8" s="50" t="s">
        <v>158</v>
      </c>
      <c r="C8" s="50">
        <f>'Cost Drivers'!V62</f>
        <v>26100</v>
      </c>
    </row>
    <row r="9" spans="2:7" x14ac:dyDescent="0.25">
      <c r="B9" s="50" t="s">
        <v>212</v>
      </c>
      <c r="C9" s="50">
        <f>'Cost Drivers'!I43*'EM Costs'!C4</f>
        <v>540000</v>
      </c>
    </row>
    <row r="10" spans="2:7" x14ac:dyDescent="0.25">
      <c r="B10" s="50" t="s">
        <v>159</v>
      </c>
      <c r="C10" s="50">
        <f>IF('Cost Drivers'!H27=FALSE,'Cost Drivers'!C9*12/3,'Cost Drivers'!C9*12)</f>
        <v>100</v>
      </c>
    </row>
    <row r="11" spans="2:7" x14ac:dyDescent="0.25">
      <c r="B11" s="39" t="s">
        <v>102</v>
      </c>
      <c r="C11" s="39" t="s">
        <v>218</v>
      </c>
      <c r="D11" s="39" t="s">
        <v>153</v>
      </c>
      <c r="E11" s="39" t="s">
        <v>103</v>
      </c>
      <c r="F11" s="39" t="s">
        <v>124</v>
      </c>
      <c r="G11" s="39" t="s">
        <v>123</v>
      </c>
    </row>
    <row r="12" spans="2:7" s="10" customFormat="1" ht="13.2" x14ac:dyDescent="0.25">
      <c r="B12" s="27" t="s">
        <v>69</v>
      </c>
      <c r="C12" s="27"/>
      <c r="D12" s="27"/>
      <c r="E12" s="27"/>
      <c r="F12" s="27"/>
      <c r="G12" s="27"/>
    </row>
    <row r="13" spans="2:7" s="10" customFormat="1" ht="13.2" x14ac:dyDescent="0.25">
      <c r="B13" s="13" t="s">
        <v>137</v>
      </c>
      <c r="C13" s="13">
        <f>2125*C4</f>
        <v>318750</v>
      </c>
      <c r="D13" s="13">
        <f>C13/$C$4</f>
        <v>2125</v>
      </c>
      <c r="E13" s="13">
        <v>2125</v>
      </c>
      <c r="F13" s="13" t="s">
        <v>138</v>
      </c>
      <c r="G13" s="13" t="s">
        <v>144</v>
      </c>
    </row>
    <row r="14" spans="2:7" s="10" customFormat="1" ht="13.2" x14ac:dyDescent="0.25">
      <c r="B14" s="27" t="s">
        <v>71</v>
      </c>
      <c r="C14" s="27"/>
      <c r="D14" s="27"/>
      <c r="E14" s="27"/>
      <c r="F14" s="27"/>
      <c r="G14" s="27"/>
    </row>
    <row r="15" spans="2:7" s="10" customFormat="1" ht="13.2" x14ac:dyDescent="0.25">
      <c r="B15" s="13" t="s">
        <v>146</v>
      </c>
      <c r="C15" s="13">
        <f>7200*C4</f>
        <v>1080000</v>
      </c>
      <c r="D15" s="13">
        <f>C15/$C$4</f>
        <v>7200</v>
      </c>
      <c r="E15" s="13">
        <v>7200</v>
      </c>
      <c r="F15" s="13" t="s">
        <v>139</v>
      </c>
      <c r="G15" s="13"/>
    </row>
    <row r="16" spans="2:7" s="10" customFormat="1" ht="13.2" x14ac:dyDescent="0.25">
      <c r="B16" s="13" t="s">
        <v>72</v>
      </c>
      <c r="C16" s="13">
        <f>(C4*(C5-2))*400</f>
        <v>60000</v>
      </c>
      <c r="D16" s="13">
        <f>C16/$C$4</f>
        <v>400</v>
      </c>
      <c r="E16" s="13">
        <v>400</v>
      </c>
      <c r="F16" s="13" t="s">
        <v>139</v>
      </c>
      <c r="G16" s="13"/>
    </row>
    <row r="17" spans="2:15" s="10" customFormat="1" ht="13.2" x14ac:dyDescent="0.25">
      <c r="B17" s="13" t="s">
        <v>73</v>
      </c>
      <c r="C17" s="13">
        <f>C4*833</f>
        <v>124950</v>
      </c>
      <c r="D17" s="13">
        <f>C17/$C$4</f>
        <v>833</v>
      </c>
      <c r="E17" s="13">
        <v>833</v>
      </c>
      <c r="F17" s="13" t="s">
        <v>191</v>
      </c>
      <c r="G17" s="13" t="s">
        <v>145</v>
      </c>
    </row>
    <row r="18" spans="2:15" s="10" customFormat="1" ht="13.2" x14ac:dyDescent="0.25">
      <c r="B18" s="27" t="s">
        <v>74</v>
      </c>
      <c r="C18" s="27"/>
      <c r="D18" s="27"/>
      <c r="E18" s="27"/>
      <c r="F18" s="27"/>
      <c r="G18" s="27"/>
    </row>
    <row r="19" spans="2:15" s="10" customFormat="1" ht="13.2" x14ac:dyDescent="0.25">
      <c r="B19" s="13" t="s">
        <v>70</v>
      </c>
      <c r="C19" s="13">
        <f>(800+200*($C$5-2))*$C$4</f>
        <v>150000</v>
      </c>
      <c r="D19" s="13">
        <f>C19/$C$4</f>
        <v>1000</v>
      </c>
      <c r="E19" s="13">
        <v>800</v>
      </c>
      <c r="F19" s="13" t="s">
        <v>140</v>
      </c>
      <c r="G19" s="13" t="s">
        <v>141</v>
      </c>
      <c r="H19" s="10" t="s">
        <v>233</v>
      </c>
    </row>
    <row r="20" spans="2:15" s="10" customFormat="1" ht="13.2" x14ac:dyDescent="0.25">
      <c r="B20" s="13" t="s">
        <v>75</v>
      </c>
      <c r="C20" s="13">
        <f>C4*(2000-'Cost Drivers'!C7*500)</f>
        <v>75000</v>
      </c>
      <c r="D20" s="13">
        <f>(C20/$C$4)/2</f>
        <v>250</v>
      </c>
      <c r="E20" s="13">
        <v>250</v>
      </c>
      <c r="F20" s="13" t="s">
        <v>140</v>
      </c>
      <c r="G20" s="13" t="s">
        <v>147</v>
      </c>
      <c r="H20" s="10" t="s">
        <v>234</v>
      </c>
    </row>
    <row r="21" spans="2:15" s="10" customFormat="1" ht="13.2" x14ac:dyDescent="0.25">
      <c r="B21" s="13" t="s">
        <v>76</v>
      </c>
      <c r="C21" s="13">
        <f>250*C4</f>
        <v>37500</v>
      </c>
      <c r="D21" s="13">
        <f>C21/$C$4</f>
        <v>250</v>
      </c>
      <c r="E21" s="13">
        <v>250</v>
      </c>
      <c r="F21" s="13" t="s">
        <v>140</v>
      </c>
      <c r="G21" s="13" t="s">
        <v>110</v>
      </c>
      <c r="O21" s="29"/>
    </row>
    <row r="22" spans="2:15" s="10" customFormat="1" ht="13.2" x14ac:dyDescent="0.25">
      <c r="B22" s="27" t="s">
        <v>77</v>
      </c>
      <c r="C22" s="27"/>
      <c r="D22" s="27"/>
      <c r="E22" s="27"/>
      <c r="F22" s="27"/>
      <c r="G22" s="27"/>
    </row>
    <row r="23" spans="2:15" s="10" customFormat="1" ht="13.2" x14ac:dyDescent="0.25">
      <c r="B23" s="13" t="s">
        <v>70</v>
      </c>
      <c r="C23" s="13">
        <f>IF('Cost Drivers'!H28=FALSE,C4*0.2*400,0)</f>
        <v>12000</v>
      </c>
      <c r="D23" s="13">
        <f>C23/$C$4</f>
        <v>80</v>
      </c>
      <c r="E23" s="13">
        <v>40</v>
      </c>
      <c r="F23" s="13" t="s">
        <v>138</v>
      </c>
      <c r="G23" s="13" t="s">
        <v>237</v>
      </c>
      <c r="H23" s="10" t="s">
        <v>235</v>
      </c>
    </row>
    <row r="24" spans="2:15" s="10" customFormat="1" ht="13.2" x14ac:dyDescent="0.25">
      <c r="B24" s="13" t="s">
        <v>75</v>
      </c>
      <c r="C24" s="13">
        <f>C4*0.2*(2000-'Cost Drivers'!C7*500)</f>
        <v>15000</v>
      </c>
      <c r="D24" s="13">
        <f>C24/$C$4</f>
        <v>100</v>
      </c>
      <c r="E24" s="13">
        <v>100</v>
      </c>
      <c r="F24" s="13" t="s">
        <v>138</v>
      </c>
      <c r="G24" s="13" t="s">
        <v>236</v>
      </c>
      <c r="H24" s="10">
        <v>100</v>
      </c>
    </row>
    <row r="25" spans="2:15" s="10" customFormat="1" ht="13.2" x14ac:dyDescent="0.25">
      <c r="B25" s="13" t="s">
        <v>76</v>
      </c>
      <c r="C25" s="13">
        <f>250*0.2*C4</f>
        <v>7500</v>
      </c>
      <c r="D25" s="13">
        <f>C25/$C$4</f>
        <v>50</v>
      </c>
      <c r="E25" s="13">
        <v>50</v>
      </c>
      <c r="F25" s="13" t="s">
        <v>138</v>
      </c>
      <c r="G25" s="13"/>
    </row>
    <row r="26" spans="2:15" s="10" customFormat="1" ht="13.2" x14ac:dyDescent="0.25">
      <c r="B26" s="27" t="s">
        <v>78</v>
      </c>
      <c r="C26" s="27"/>
      <c r="D26" s="27"/>
      <c r="E26" s="27"/>
      <c r="F26" s="27"/>
      <c r="G26" s="27"/>
    </row>
    <row r="27" spans="2:15" s="10" customFormat="1" ht="13.2" x14ac:dyDescent="0.25">
      <c r="B27" s="13" t="s">
        <v>136</v>
      </c>
      <c r="C27" s="13">
        <f>IF('Cost Drivers'!H26=FALSE,13.6*C10*C4*2, C10*C4*50)</f>
        <v>408000</v>
      </c>
      <c r="D27" s="13">
        <f>C27/$C$4</f>
        <v>2720</v>
      </c>
      <c r="E27" s="31">
        <v>13.6</v>
      </c>
      <c r="F27" s="13" t="s">
        <v>142</v>
      </c>
      <c r="G27" s="13" t="s">
        <v>179</v>
      </c>
    </row>
    <row r="28" spans="2:15" s="10" customFormat="1" ht="13.2" x14ac:dyDescent="0.25">
      <c r="B28" s="27" t="s">
        <v>79</v>
      </c>
      <c r="C28" s="27"/>
      <c r="D28" s="27"/>
      <c r="E28" s="27"/>
      <c r="F28" s="27"/>
      <c r="G28" s="27"/>
    </row>
    <row r="29" spans="2:15" s="10" customFormat="1" ht="13.2" x14ac:dyDescent="0.25">
      <c r="B29" s="13" t="s">
        <v>182</v>
      </c>
      <c r="C29" s="13">
        <f>C6*1000</f>
        <v>19000</v>
      </c>
      <c r="D29" s="13">
        <f t="shared" ref="D29:D36" si="0">C29/$C$4</f>
        <v>126.66666666666667</v>
      </c>
      <c r="E29" s="13">
        <v>1000</v>
      </c>
      <c r="F29" s="13" t="s">
        <v>148</v>
      </c>
      <c r="G29" s="13" t="s">
        <v>143</v>
      </c>
    </row>
    <row r="30" spans="2:15" s="10" customFormat="1" ht="13.2" x14ac:dyDescent="0.25">
      <c r="B30" s="13" t="s">
        <v>180</v>
      </c>
      <c r="C30" s="13">
        <f>4000*C6</f>
        <v>76000</v>
      </c>
      <c r="D30" s="13">
        <f t="shared" si="0"/>
        <v>506.66666666666669</v>
      </c>
      <c r="E30" s="13">
        <v>4000</v>
      </c>
      <c r="F30" s="13" t="s">
        <v>148</v>
      </c>
      <c r="G30" s="13" t="s">
        <v>216</v>
      </c>
    </row>
    <row r="31" spans="2:15" s="10" customFormat="1" ht="13.2" x14ac:dyDescent="0.25">
      <c r="B31" s="13" t="s">
        <v>181</v>
      </c>
      <c r="C31" s="13">
        <f>1600*C6</f>
        <v>30400</v>
      </c>
      <c r="D31" s="13">
        <f t="shared" si="0"/>
        <v>202.66666666666666</v>
      </c>
      <c r="E31" s="13">
        <v>8000</v>
      </c>
      <c r="F31" s="13" t="s">
        <v>149</v>
      </c>
      <c r="G31" s="13" t="s">
        <v>150</v>
      </c>
    </row>
    <row r="32" spans="2:15" s="10" customFormat="1" ht="13.2" x14ac:dyDescent="0.25">
      <c r="B32" s="13" t="s">
        <v>80</v>
      </c>
      <c r="C32" s="13">
        <f>'Cost Drivers'!K56*'Cost Drivers'!G33</f>
        <v>157500</v>
      </c>
      <c r="D32" s="13">
        <f t="shared" si="0"/>
        <v>1050</v>
      </c>
      <c r="E32" s="13">
        <v>50</v>
      </c>
      <c r="F32" s="13" t="s">
        <v>151</v>
      </c>
      <c r="G32" s="13" t="s">
        <v>152</v>
      </c>
    </row>
    <row r="33" spans="2:7" s="10" customFormat="1" ht="13.2" x14ac:dyDescent="0.25">
      <c r="B33" s="13" t="s">
        <v>81</v>
      </c>
      <c r="C33" s="13">
        <f>'Cost Drivers'!O67*$C$4*'Cost Drivers'!G33</f>
        <v>378000</v>
      </c>
      <c r="D33" s="13">
        <f t="shared" si="0"/>
        <v>2520</v>
      </c>
      <c r="E33" s="13">
        <v>50</v>
      </c>
      <c r="F33" s="13" t="s">
        <v>151</v>
      </c>
      <c r="G33" s="13"/>
    </row>
    <row r="34" spans="2:7" s="10" customFormat="1" ht="13.2" x14ac:dyDescent="0.25">
      <c r="B34" s="13" t="s">
        <v>82</v>
      </c>
      <c r="C34" s="13">
        <f>'Cost Drivers'!P67*$C$4*'Cost Drivers'!G33</f>
        <v>378000</v>
      </c>
      <c r="D34" s="13">
        <f t="shared" si="0"/>
        <v>2520</v>
      </c>
      <c r="E34" s="13">
        <v>50</v>
      </c>
      <c r="F34" s="13" t="s">
        <v>151</v>
      </c>
      <c r="G34" s="13"/>
    </row>
    <row r="35" spans="2:7" s="10" customFormat="1" ht="13.2" x14ac:dyDescent="0.25">
      <c r="B35" s="13" t="s">
        <v>83</v>
      </c>
      <c r="C35" s="13">
        <f>'Cost Drivers'!Q67*$C$4*'Cost Drivers'!G33</f>
        <v>0</v>
      </c>
      <c r="D35" s="13">
        <f t="shared" si="0"/>
        <v>0</v>
      </c>
      <c r="E35" s="13">
        <v>50</v>
      </c>
      <c r="F35" s="13" t="s">
        <v>151</v>
      </c>
      <c r="G35" s="13"/>
    </row>
    <row r="36" spans="2:7" s="10" customFormat="1" ht="13.2" x14ac:dyDescent="0.25">
      <c r="B36" s="13" t="s">
        <v>84</v>
      </c>
      <c r="C36" s="13">
        <f>'Cost Drivers'!R67*$C$4*'Cost Drivers'!G33</f>
        <v>0</v>
      </c>
      <c r="D36" s="13">
        <f t="shared" si="0"/>
        <v>0</v>
      </c>
      <c r="E36" s="13">
        <v>50</v>
      </c>
      <c r="F36" s="13" t="s">
        <v>151</v>
      </c>
      <c r="G36" s="13"/>
    </row>
    <row r="37" spans="2:7" s="10" customFormat="1" ht="13.2" x14ac:dyDescent="0.25">
      <c r="B37" s="27" t="s">
        <v>85</v>
      </c>
      <c r="C37" s="27"/>
      <c r="D37" s="27"/>
      <c r="E37" s="27"/>
      <c r="F37" s="27"/>
      <c r="G37" s="27"/>
    </row>
    <row r="38" spans="2:7" s="10" customFormat="1" ht="13.2" x14ac:dyDescent="0.25">
      <c r="B38" s="13" t="s">
        <v>192</v>
      </c>
      <c r="C38" s="13">
        <f>(C9/1000)*525</f>
        <v>283500</v>
      </c>
      <c r="D38" s="13">
        <f>C38/$C$4</f>
        <v>1890</v>
      </c>
      <c r="E38" s="13">
        <v>525</v>
      </c>
      <c r="F38" s="13" t="s">
        <v>217</v>
      </c>
      <c r="G38" s="13" t="s">
        <v>239</v>
      </c>
    </row>
    <row r="39" spans="2:7" s="10" customFormat="1" ht="13.2" x14ac:dyDescent="0.25"/>
  </sheetData>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7"/>
  <sheetViews>
    <sheetView workbookViewId="0"/>
  </sheetViews>
  <sheetFormatPr defaultColWidth="9.109375" defaultRowHeight="13.8" x14ac:dyDescent="0.25"/>
  <cols>
    <col min="1" max="1" width="5.6640625" style="2" customWidth="1"/>
    <col min="2" max="2" width="34.6640625" style="2" bestFit="1" customWidth="1"/>
    <col min="3" max="3" width="19.109375" style="2" bestFit="1" customWidth="1"/>
    <col min="4" max="4" width="17.109375" style="2" customWidth="1"/>
    <col min="5" max="5" width="18.5546875" style="2" bestFit="1" customWidth="1"/>
    <col min="6" max="6" width="22.33203125" style="2" bestFit="1" customWidth="1"/>
    <col min="7" max="7" width="76.33203125" style="2" customWidth="1"/>
    <col min="8" max="8" width="11.88671875" style="2" bestFit="1" customWidth="1"/>
    <col min="9" max="17" width="9.109375" style="2"/>
    <col min="18" max="18" width="12.109375" style="2" bestFit="1" customWidth="1"/>
    <col min="19" max="16384" width="9.109375" style="2"/>
  </cols>
  <sheetData>
    <row r="1" spans="2:7" s="1" customFormat="1" ht="24.9" customHeight="1" x14ac:dyDescent="0.4">
      <c r="B1" s="3" t="s">
        <v>87</v>
      </c>
      <c r="C1" s="3"/>
      <c r="D1" s="3"/>
      <c r="E1" s="3"/>
      <c r="F1" s="3"/>
    </row>
    <row r="2" spans="2:7" ht="15.75" customHeight="1" x14ac:dyDescent="0.4">
      <c r="B2" s="38" t="s">
        <v>199</v>
      </c>
      <c r="C2" s="36"/>
      <c r="D2" s="37"/>
      <c r="E2" s="37"/>
      <c r="F2" s="37"/>
    </row>
    <row r="3" spans="2:7" x14ac:dyDescent="0.25">
      <c r="B3" s="50" t="s">
        <v>155</v>
      </c>
      <c r="C3" s="50">
        <f>'Cost Drivers'!$C$4</f>
        <v>150</v>
      </c>
    </row>
    <row r="4" spans="2:7" x14ac:dyDescent="0.25">
      <c r="B4" s="50" t="s">
        <v>164</v>
      </c>
      <c r="C4" s="50">
        <f>IF(AND('Cost Drivers'!G13&gt;=100,'Cost Drivers'!C9&lt;=3),142,IF(AND('Cost Drivers'!G13&gt;=100,'Cost Drivers'!C9&gt;3),101,67))</f>
        <v>67</v>
      </c>
    </row>
    <row r="5" spans="2:7" x14ac:dyDescent="0.25">
      <c r="B5" s="50" t="s">
        <v>160</v>
      </c>
      <c r="C5" s="50">
        <f>ROUNDUP(C6/C4,0)</f>
        <v>135</v>
      </c>
    </row>
    <row r="6" spans="2:7" x14ac:dyDescent="0.25">
      <c r="B6" s="50" t="s">
        <v>161</v>
      </c>
      <c r="C6" s="50">
        <f>ROUNDUP(('Cost Drivers'!C44*'Cost Drivers'!G13/100)*C3,0)</f>
        <v>9000</v>
      </c>
    </row>
    <row r="7" spans="2:7" x14ac:dyDescent="0.25">
      <c r="B7" s="50" t="s">
        <v>162</v>
      </c>
      <c r="C7" s="50">
        <f>IF('Cost Drivers'!H24=FALSE,$D$7,$D$7*1.4)</f>
        <v>500</v>
      </c>
      <c r="D7" s="51">
        <f>IF('Cost Drivers'!$G$13&gt;=100,383,IF('Cost Drivers'!$C$6=3,500,IF('Cost Drivers'!$C$6=2,618, IF('Cost Drivers'!$C$6=1,736.2))))</f>
        <v>500</v>
      </c>
    </row>
    <row r="8" spans="2:7" ht="15" thickBot="1" x14ac:dyDescent="0.3">
      <c r="C8" s="32"/>
    </row>
    <row r="9" spans="2:7" x14ac:dyDescent="0.25">
      <c r="C9" s="28" t="s">
        <v>154</v>
      </c>
      <c r="D9" s="28" t="s">
        <v>153</v>
      </c>
      <c r="E9" s="28" t="s">
        <v>103</v>
      </c>
      <c r="F9" s="28" t="s">
        <v>124</v>
      </c>
      <c r="G9" s="53"/>
    </row>
    <row r="10" spans="2:7" s="10" customFormat="1" ht="13.2" x14ac:dyDescent="0.25">
      <c r="B10" s="11" t="s">
        <v>69</v>
      </c>
      <c r="C10" s="11"/>
      <c r="D10" s="11"/>
      <c r="G10" s="46"/>
    </row>
    <row r="11" spans="2:7" s="10" customFormat="1" ht="13.2" x14ac:dyDescent="0.25">
      <c r="B11" s="30" t="s">
        <v>230</v>
      </c>
      <c r="C11" s="30">
        <f>944.44*$C$5</f>
        <v>127499.40000000001</v>
      </c>
      <c r="D11" s="30">
        <f>C11/$C$3</f>
        <v>849.99600000000009</v>
      </c>
      <c r="E11" s="41">
        <v>944.44</v>
      </c>
      <c r="F11" s="41" t="s">
        <v>126</v>
      </c>
      <c r="G11" s="46" t="s">
        <v>128</v>
      </c>
    </row>
    <row r="12" spans="2:7" s="10" customFormat="1" ht="13.2" x14ac:dyDescent="0.25">
      <c r="B12" s="11" t="s">
        <v>88</v>
      </c>
      <c r="C12" s="11"/>
      <c r="D12" s="11"/>
      <c r="E12" s="23"/>
      <c r="F12" s="23"/>
      <c r="G12" s="46"/>
    </row>
    <row r="13" spans="2:7" s="10" customFormat="1" ht="13.2" x14ac:dyDescent="0.25">
      <c r="B13" s="30" t="s">
        <v>89</v>
      </c>
      <c r="C13" s="30">
        <f>$C$6*$C$7</f>
        <v>4500000</v>
      </c>
      <c r="D13" s="30">
        <f>C13/$C$3</f>
        <v>30000</v>
      </c>
      <c r="E13" s="44">
        <v>388</v>
      </c>
      <c r="F13" s="44" t="s">
        <v>125</v>
      </c>
      <c r="G13" s="46" t="s">
        <v>129</v>
      </c>
    </row>
    <row r="14" spans="2:7" s="10" customFormat="1" ht="13.2" x14ac:dyDescent="0.25">
      <c r="B14" s="30" t="s">
        <v>90</v>
      </c>
      <c r="C14" s="30">
        <f>500*$C$5</f>
        <v>67500</v>
      </c>
      <c r="D14" s="30">
        <f>C14/$C$3</f>
        <v>450</v>
      </c>
      <c r="E14" s="45">
        <v>500</v>
      </c>
      <c r="F14" s="41" t="s">
        <v>126</v>
      </c>
      <c r="G14" s="46"/>
    </row>
    <row r="15" spans="2:7" s="10" customFormat="1" ht="13.2" x14ac:dyDescent="0.25">
      <c r="B15" s="11" t="s">
        <v>91</v>
      </c>
      <c r="C15" s="11"/>
      <c r="D15" s="11"/>
      <c r="E15" s="23"/>
      <c r="F15" s="23"/>
      <c r="G15" s="46"/>
    </row>
    <row r="16" spans="2:7" s="10" customFormat="1" ht="13.2" x14ac:dyDescent="0.25">
      <c r="B16" s="30" t="s">
        <v>92</v>
      </c>
      <c r="C16" s="30">
        <f>708*$C$5</f>
        <v>95580</v>
      </c>
      <c r="D16" s="30">
        <f>C16/$C$3</f>
        <v>637.20000000000005</v>
      </c>
      <c r="E16" s="41">
        <v>708</v>
      </c>
      <c r="F16" s="41" t="s">
        <v>126</v>
      </c>
      <c r="G16" s="46" t="s">
        <v>131</v>
      </c>
    </row>
    <row r="17" spans="2:7" s="10" customFormat="1" ht="13.2" x14ac:dyDescent="0.25">
      <c r="B17" s="11" t="s">
        <v>93</v>
      </c>
      <c r="C17" s="11"/>
      <c r="D17" s="11"/>
      <c r="E17" s="23"/>
      <c r="F17" s="23"/>
      <c r="G17" s="46"/>
    </row>
    <row r="18" spans="2:7" s="10" customFormat="1" ht="13.2" x14ac:dyDescent="0.25">
      <c r="B18" s="30" t="s">
        <v>94</v>
      </c>
      <c r="C18" s="30">
        <f>10*C6</f>
        <v>90000</v>
      </c>
      <c r="D18" s="30">
        <f>C18/$C$3</f>
        <v>600</v>
      </c>
      <c r="E18" s="45">
        <v>10</v>
      </c>
      <c r="F18" s="41" t="s">
        <v>125</v>
      </c>
      <c r="G18" s="46" t="s">
        <v>132</v>
      </c>
    </row>
    <row r="19" spans="2:7" s="10" customFormat="1" ht="13.2" x14ac:dyDescent="0.25">
      <c r="B19" s="11" t="s">
        <v>95</v>
      </c>
      <c r="C19" s="11"/>
      <c r="D19" s="11"/>
      <c r="E19" s="23"/>
      <c r="F19" s="23"/>
      <c r="G19" s="46"/>
    </row>
    <row r="20" spans="2:7" s="10" customFormat="1" ht="13.2" x14ac:dyDescent="0.25">
      <c r="B20" s="30" t="s">
        <v>96</v>
      </c>
      <c r="C20" s="30">
        <f>2833.33*$C$5</f>
        <v>382499.55</v>
      </c>
      <c r="D20" s="30">
        <f>C20/$C$3</f>
        <v>2549.9969999999998</v>
      </c>
      <c r="E20" s="41">
        <v>2833.33</v>
      </c>
      <c r="F20" s="41" t="s">
        <v>126</v>
      </c>
      <c r="G20" s="46" t="s">
        <v>133</v>
      </c>
    </row>
    <row r="21" spans="2:7" s="10" customFormat="1" ht="13.2" x14ac:dyDescent="0.25">
      <c r="B21" s="11" t="s">
        <v>97</v>
      </c>
      <c r="C21" s="11"/>
      <c r="D21" s="11"/>
      <c r="E21" s="23"/>
      <c r="F21" s="23"/>
      <c r="G21" s="46"/>
    </row>
    <row r="22" spans="2:7" s="10" customFormat="1" ht="13.2" x14ac:dyDescent="0.25">
      <c r="B22" s="30" t="s">
        <v>127</v>
      </c>
      <c r="C22" s="30">
        <f>$C$6*2</f>
        <v>18000</v>
      </c>
      <c r="D22" s="30">
        <f>C22/$C$3</f>
        <v>120</v>
      </c>
      <c r="E22" s="45">
        <v>2</v>
      </c>
      <c r="F22" s="41" t="s">
        <v>125</v>
      </c>
      <c r="G22" s="46" t="s">
        <v>134</v>
      </c>
    </row>
    <row r="23" spans="2:7" s="10" customFormat="1" ht="13.2" x14ac:dyDescent="0.25">
      <c r="B23" s="11" t="s">
        <v>98</v>
      </c>
      <c r="C23" s="11"/>
      <c r="D23" s="11"/>
      <c r="E23" s="23"/>
      <c r="F23" s="23"/>
      <c r="G23" s="46"/>
    </row>
    <row r="24" spans="2:7" s="10" customFormat="1" ht="13.2" x14ac:dyDescent="0.25">
      <c r="B24" s="30" t="s">
        <v>99</v>
      </c>
      <c r="C24" s="30">
        <f>6.67*C6</f>
        <v>60030</v>
      </c>
      <c r="D24" s="30">
        <f>C24/$C$3</f>
        <v>400.2</v>
      </c>
      <c r="E24" s="44">
        <v>6.67</v>
      </c>
      <c r="F24" s="41" t="s">
        <v>125</v>
      </c>
      <c r="G24" s="46" t="s">
        <v>135</v>
      </c>
    </row>
    <row r="25" spans="2:7" s="10" customFormat="1" ht="13.2" x14ac:dyDescent="0.25"/>
    <row r="26" spans="2:7" s="10" customFormat="1" ht="13.2" x14ac:dyDescent="0.25">
      <c r="B26" s="47" t="s">
        <v>165</v>
      </c>
      <c r="C26" s="52">
        <f>SUM(C11:C11,C13:C14,C16,C18,C20,C22,C24)</f>
        <v>5341108.95</v>
      </c>
      <c r="D26" s="52">
        <f>SUM(D11:D11,D13:D14,D16,D18,D20,D22,D24)</f>
        <v>35607.392999999996</v>
      </c>
    </row>
    <row r="27" spans="2:7" s="10" customFormat="1" ht="13.2" x14ac:dyDescent="0.25"/>
    <row r="28" spans="2:7" s="10" customFormat="1" ht="13.2" x14ac:dyDescent="0.25"/>
    <row r="29" spans="2:7" s="10" customFormat="1" ht="13.2" x14ac:dyDescent="0.25"/>
    <row r="30" spans="2:7" s="10" customFormat="1" ht="13.2" x14ac:dyDescent="0.25"/>
    <row r="31" spans="2:7" s="10" customFormat="1" ht="13.2" x14ac:dyDescent="0.25"/>
    <row r="32" spans="2:7" s="10" customFormat="1" ht="13.2" x14ac:dyDescent="0.25"/>
    <row r="33" s="10" customFormat="1" ht="13.2" x14ac:dyDescent="0.25"/>
    <row r="34" s="10" customFormat="1" ht="13.2" x14ac:dyDescent="0.25"/>
    <row r="35" s="10" customFormat="1" ht="13.2" x14ac:dyDescent="0.25"/>
    <row r="36" s="10" customFormat="1" ht="13.2" x14ac:dyDescent="0.25"/>
    <row r="37" s="10" customFormat="1" ht="13.2"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3"/>
  <sheetViews>
    <sheetView workbookViewId="0"/>
  </sheetViews>
  <sheetFormatPr defaultColWidth="9.109375" defaultRowHeight="13.8" x14ac:dyDescent="0.25"/>
  <cols>
    <col min="1" max="1" width="5.6640625" style="2" customWidth="1"/>
    <col min="2" max="2" width="55.6640625" style="2" bestFit="1" customWidth="1"/>
    <col min="3" max="3" width="17.6640625" style="2" bestFit="1" customWidth="1"/>
    <col min="4" max="4" width="16" style="2" bestFit="1" customWidth="1"/>
    <col min="5" max="5" width="9.109375" style="2"/>
    <col min="6" max="6" width="11.33203125" style="2" bestFit="1" customWidth="1"/>
    <col min="7" max="7" width="13.33203125" style="2" bestFit="1" customWidth="1"/>
    <col min="8" max="8" width="12" style="2" bestFit="1" customWidth="1"/>
    <col min="9" max="9" width="9.109375" style="2"/>
    <col min="10" max="10" width="16.33203125" style="2" bestFit="1" customWidth="1"/>
    <col min="11" max="11" width="13.33203125" style="2" bestFit="1" customWidth="1"/>
    <col min="12" max="16384" width="9.109375" style="2"/>
  </cols>
  <sheetData>
    <row r="1" spans="2:11" s="1" customFormat="1" ht="24.9" customHeight="1" x14ac:dyDescent="0.4">
      <c r="B1" s="36" t="s">
        <v>0</v>
      </c>
    </row>
    <row r="2" spans="2:11" s="10" customFormat="1" ht="13.2" x14ac:dyDescent="0.25">
      <c r="B2" s="40" t="s">
        <v>195</v>
      </c>
      <c r="C2" s="43">
        <v>0.05</v>
      </c>
    </row>
    <row r="3" spans="2:11" s="10" customFormat="1" ht="13.2" x14ac:dyDescent="0.25">
      <c r="B3" s="35" t="s">
        <v>193</v>
      </c>
      <c r="C3" s="35" t="s">
        <v>218</v>
      </c>
      <c r="D3" s="35" t="s">
        <v>153</v>
      </c>
      <c r="E3" s="35" t="s">
        <v>104</v>
      </c>
      <c r="F3" s="35" t="s">
        <v>105</v>
      </c>
      <c r="G3" s="35" t="s">
        <v>106</v>
      </c>
      <c r="H3" s="35" t="s">
        <v>107</v>
      </c>
      <c r="I3" s="35" t="s">
        <v>108</v>
      </c>
      <c r="J3" s="35" t="s">
        <v>219</v>
      </c>
      <c r="K3" s="35" t="s">
        <v>109</v>
      </c>
    </row>
    <row r="4" spans="2:11" s="10" customFormat="1" ht="13.2" x14ac:dyDescent="0.25">
      <c r="B4" s="27" t="s">
        <v>69</v>
      </c>
    </row>
    <row r="5" spans="2:11" s="10" customFormat="1" ht="13.2" x14ac:dyDescent="0.25">
      <c r="B5" s="13" t="s">
        <v>137</v>
      </c>
      <c r="C5" s="13">
        <f>'EM Costs'!C13*'Who Pays'!$C$17/100</f>
        <v>318750</v>
      </c>
      <c r="D5" s="13">
        <f>'EM Costs'!D13*'Who Pays'!$C$17/100</f>
        <v>2125</v>
      </c>
      <c r="E5" s="13">
        <f>$D$5*'Who Pays'!$C$17/100</f>
        <v>2125</v>
      </c>
      <c r="F5" s="13">
        <f>$D$5*'Who Pays'!$C$17/100</f>
        <v>2125</v>
      </c>
      <c r="G5" s="13">
        <f>$D$5*'Who Pays'!$C$17/100</f>
        <v>2125</v>
      </c>
      <c r="H5" s="13">
        <f>$D$5*'Who Pays'!$C$17/100</f>
        <v>2125</v>
      </c>
      <c r="I5" s="13">
        <f>$D$5*'Who Pays'!$C$17/100</f>
        <v>2125</v>
      </c>
      <c r="J5" s="13">
        <f>SUM(E5:I5)</f>
        <v>10625</v>
      </c>
      <c r="K5" s="13">
        <f>E5+F5*(1+$C$2)+G5*((1+$C$2)^2)+H5*((1+$C$2)^3)+I5*((1+$C$2)^4)</f>
        <v>11741.96640625</v>
      </c>
    </row>
    <row r="6" spans="2:11" s="10" customFormat="1" ht="13.2" x14ac:dyDescent="0.25">
      <c r="B6" s="27" t="s">
        <v>71</v>
      </c>
    </row>
    <row r="7" spans="2:11" s="10" customFormat="1" ht="13.2" x14ac:dyDescent="0.25">
      <c r="B7" s="13" t="s">
        <v>146</v>
      </c>
      <c r="C7" s="13">
        <f>'EM Costs'!C15*'Who Pays'!$C$18/100</f>
        <v>1080000</v>
      </c>
      <c r="D7" s="13">
        <f>'EM Costs'!D15*'Who Pays'!$C$18/100</f>
        <v>7200</v>
      </c>
      <c r="E7" s="13">
        <f>D7*'Who Pays'!$C$18/100</f>
        <v>7200</v>
      </c>
      <c r="F7" s="13">
        <v>0</v>
      </c>
      <c r="G7" s="13">
        <v>0</v>
      </c>
      <c r="H7" s="13">
        <v>0</v>
      </c>
      <c r="I7" s="13">
        <v>0</v>
      </c>
      <c r="J7" s="13">
        <f t="shared" ref="J7:J9" si="0">SUM(E7:I7)</f>
        <v>7200</v>
      </c>
      <c r="K7" s="13">
        <f t="shared" ref="K7:K9" si="1">E7+F7*(1+$C$2)+G7*((1+$C$2)^2)+H7*((1+$C$2)^3)+I7*((1+$C$2)^4)</f>
        <v>7200</v>
      </c>
    </row>
    <row r="8" spans="2:11" s="10" customFormat="1" ht="13.2" x14ac:dyDescent="0.25">
      <c r="B8" s="13" t="s">
        <v>72</v>
      </c>
      <c r="C8" s="13">
        <f>'EM Costs'!C16</f>
        <v>60000</v>
      </c>
      <c r="D8" s="13">
        <f>'EM Costs'!D16*'Who Pays'!$C$18/100</f>
        <v>400</v>
      </c>
      <c r="E8" s="13">
        <f>D8*'Who Pays'!$C$18/100</f>
        <v>400</v>
      </c>
      <c r="F8" s="13">
        <v>0</v>
      </c>
      <c r="G8" s="13">
        <v>0</v>
      </c>
      <c r="H8" s="13">
        <v>0</v>
      </c>
      <c r="I8" s="13">
        <v>0</v>
      </c>
      <c r="J8" s="13">
        <f t="shared" si="0"/>
        <v>400</v>
      </c>
      <c r="K8" s="13">
        <f t="shared" si="1"/>
        <v>400</v>
      </c>
    </row>
    <row r="9" spans="2:11" s="10" customFormat="1" ht="13.2" x14ac:dyDescent="0.25">
      <c r="B9" s="13" t="s">
        <v>73</v>
      </c>
      <c r="C9" s="13">
        <f>'EM Costs'!C17</f>
        <v>124950</v>
      </c>
      <c r="D9" s="13">
        <f>'EM Costs'!D17*'Who Pays'!$C$18/100</f>
        <v>833</v>
      </c>
      <c r="E9" s="13">
        <f>D9*'Who Pays'!$C$18/100</f>
        <v>833</v>
      </c>
      <c r="F9" s="13">
        <v>0</v>
      </c>
      <c r="G9" s="13">
        <v>0</v>
      </c>
      <c r="H9" s="13">
        <v>0</v>
      </c>
      <c r="I9" s="13">
        <v>0</v>
      </c>
      <c r="J9" s="13">
        <f t="shared" si="0"/>
        <v>833</v>
      </c>
      <c r="K9" s="13">
        <f t="shared" si="1"/>
        <v>833</v>
      </c>
    </row>
    <row r="10" spans="2:11" s="10" customFormat="1" ht="13.2" x14ac:dyDescent="0.25">
      <c r="B10" s="27" t="s">
        <v>74</v>
      </c>
    </row>
    <row r="11" spans="2:11" s="10" customFormat="1" ht="13.2" x14ac:dyDescent="0.25">
      <c r="B11" s="13" t="s">
        <v>70</v>
      </c>
      <c r="C11" s="13">
        <f>'EM Costs'!C19*'Who Pays'!$C$19/100</f>
        <v>150000</v>
      </c>
      <c r="D11" s="13">
        <f>'EM Costs'!D19*'Who Pays'!$C$19/100</f>
        <v>1000</v>
      </c>
      <c r="E11" s="13">
        <f>D11*'Who Pays'!$C$19/100</f>
        <v>1000</v>
      </c>
      <c r="F11" s="13">
        <v>0</v>
      </c>
      <c r="G11" s="13">
        <v>0</v>
      </c>
      <c r="H11" s="13">
        <v>0</v>
      </c>
      <c r="I11" s="13">
        <v>0</v>
      </c>
      <c r="J11" s="13">
        <f t="shared" ref="J11:J13" si="2">SUM(E11:I11)</f>
        <v>1000</v>
      </c>
      <c r="K11" s="13">
        <f t="shared" ref="K11:K13" si="3">E11+F11*(1+$C$2)+G11*((1+$C$2)^2)+H11*((1+$C$2)^3)+I11*((1+$C$2)^4)</f>
        <v>1000</v>
      </c>
    </row>
    <row r="12" spans="2:11" s="10" customFormat="1" ht="13.2" x14ac:dyDescent="0.25">
      <c r="B12" s="13" t="s">
        <v>75</v>
      </c>
      <c r="C12" s="13">
        <f>'EM Costs'!C20*'Who Pays'!$C$19/100</f>
        <v>75000</v>
      </c>
      <c r="D12" s="13">
        <f>'EM Costs'!D20*'Who Pays'!$C$19/100</f>
        <v>250</v>
      </c>
      <c r="E12" s="13">
        <f>D12*'Who Pays'!$C$19/100</f>
        <v>250</v>
      </c>
      <c r="F12" s="13">
        <v>0</v>
      </c>
      <c r="G12" s="13">
        <v>0</v>
      </c>
      <c r="H12" s="13">
        <v>0</v>
      </c>
      <c r="I12" s="13">
        <v>0</v>
      </c>
      <c r="J12" s="13">
        <f t="shared" si="2"/>
        <v>250</v>
      </c>
      <c r="K12" s="13">
        <f t="shared" si="3"/>
        <v>250</v>
      </c>
    </row>
    <row r="13" spans="2:11" s="10" customFormat="1" ht="13.2" x14ac:dyDescent="0.25">
      <c r="B13" s="13" t="s">
        <v>76</v>
      </c>
      <c r="C13" s="13">
        <f>'EM Costs'!C21*'Who Pays'!$C$19/100</f>
        <v>37500</v>
      </c>
      <c r="D13" s="13">
        <f>'EM Costs'!D21*'Who Pays'!$C$19/100</f>
        <v>250</v>
      </c>
      <c r="E13" s="13">
        <f>D13*'Who Pays'!$C$19/100</f>
        <v>250</v>
      </c>
      <c r="F13" s="13">
        <v>0</v>
      </c>
      <c r="G13" s="13">
        <v>0</v>
      </c>
      <c r="H13" s="13">
        <v>0</v>
      </c>
      <c r="I13" s="13">
        <v>0</v>
      </c>
      <c r="J13" s="13">
        <f t="shared" si="2"/>
        <v>250</v>
      </c>
      <c r="K13" s="13">
        <f t="shared" si="3"/>
        <v>250</v>
      </c>
    </row>
    <row r="14" spans="2:11" s="10" customFormat="1" ht="13.2" x14ac:dyDescent="0.25">
      <c r="B14" s="27" t="s">
        <v>77</v>
      </c>
    </row>
    <row r="15" spans="2:11" s="10" customFormat="1" ht="13.2" x14ac:dyDescent="0.25">
      <c r="B15" s="13" t="s">
        <v>70</v>
      </c>
      <c r="C15" s="13">
        <f>'EM Costs'!C23*'Who Pays'!$C$20/100</f>
        <v>12000</v>
      </c>
      <c r="D15" s="13">
        <f>'EM Costs'!D23*'Who Pays'!$C$20/100</f>
        <v>80</v>
      </c>
      <c r="E15" s="13">
        <f>$D$15*'Who Pays'!$C$20/100</f>
        <v>80</v>
      </c>
      <c r="F15" s="13">
        <f>$D$15*'Who Pays'!$C$20/100</f>
        <v>80</v>
      </c>
      <c r="G15" s="13">
        <f>$D$15*'Who Pays'!$C$20/100</f>
        <v>80</v>
      </c>
      <c r="H15" s="13">
        <f>$D$15*'Who Pays'!$C$20/100</f>
        <v>80</v>
      </c>
      <c r="I15" s="13">
        <f>$D$15*'Who Pays'!$C$20/100</f>
        <v>80</v>
      </c>
      <c r="J15" s="13">
        <f t="shared" ref="J15:J17" si="4">SUM(E15:I15)</f>
        <v>400</v>
      </c>
      <c r="K15" s="13">
        <f t="shared" ref="K15:K17" si="5">E15+F15*(1+$C$2)+G15*((1+$C$2)^2)+H15*((1+$C$2)^3)+I15*((1+$C$2)^4)</f>
        <v>442.0505</v>
      </c>
    </row>
    <row r="16" spans="2:11" s="10" customFormat="1" ht="13.2" x14ac:dyDescent="0.25">
      <c r="B16" s="13" t="s">
        <v>75</v>
      </c>
      <c r="C16" s="13">
        <f>'EM Costs'!C24*'Who Pays'!$C$20/100</f>
        <v>15000</v>
      </c>
      <c r="D16" s="13">
        <f>'EM Costs'!D24*'Who Pays'!$C$20/100</f>
        <v>100</v>
      </c>
      <c r="E16" s="13">
        <f>$D$16*'Who Pays'!$C$20/100</f>
        <v>100</v>
      </c>
      <c r="F16" s="13">
        <f>$D$16*'Who Pays'!$C$20/100</f>
        <v>100</v>
      </c>
      <c r="G16" s="13">
        <f>$D$16*'Who Pays'!$C$20/100</f>
        <v>100</v>
      </c>
      <c r="H16" s="13">
        <f>$D$16*'Who Pays'!$C$20/100</f>
        <v>100</v>
      </c>
      <c r="I16" s="13">
        <f>$D$16*'Who Pays'!$C$20/100</f>
        <v>100</v>
      </c>
      <c r="J16" s="13">
        <f t="shared" si="4"/>
        <v>500</v>
      </c>
      <c r="K16" s="13">
        <f t="shared" si="5"/>
        <v>552.56312500000001</v>
      </c>
    </row>
    <row r="17" spans="2:11" s="10" customFormat="1" ht="13.2" x14ac:dyDescent="0.25">
      <c r="B17" s="13" t="s">
        <v>76</v>
      </c>
      <c r="C17" s="13">
        <f>'EM Costs'!C25*'Who Pays'!$C$20/100</f>
        <v>7500</v>
      </c>
      <c r="D17" s="13">
        <f>'EM Costs'!D25*'Who Pays'!$C$20/100</f>
        <v>50</v>
      </c>
      <c r="E17" s="13">
        <f>$D$17*'Who Pays'!$C$20/100</f>
        <v>50</v>
      </c>
      <c r="F17" s="13">
        <f>$D$17*'Who Pays'!$C$20/100</f>
        <v>50</v>
      </c>
      <c r="G17" s="13">
        <f>$D$17*'Who Pays'!$C$20/100</f>
        <v>50</v>
      </c>
      <c r="H17" s="13">
        <f>$D$17*'Who Pays'!$C$20/100</f>
        <v>50</v>
      </c>
      <c r="I17" s="13">
        <f>$D$17*'Who Pays'!$C$20/100</f>
        <v>50</v>
      </c>
      <c r="J17" s="13">
        <f t="shared" si="4"/>
        <v>250</v>
      </c>
      <c r="K17" s="13">
        <f t="shared" si="5"/>
        <v>276.28156250000001</v>
      </c>
    </row>
    <row r="18" spans="2:11" s="10" customFormat="1" ht="13.2" x14ac:dyDescent="0.25">
      <c r="B18" s="27" t="s">
        <v>78</v>
      </c>
    </row>
    <row r="19" spans="2:11" s="10" customFormat="1" ht="13.2" x14ac:dyDescent="0.25">
      <c r="B19" s="13" t="s">
        <v>136</v>
      </c>
      <c r="C19" s="13">
        <f>'EM Costs'!C27*'Who Pays'!$C$21/100</f>
        <v>408000</v>
      </c>
      <c r="D19" s="13">
        <f>'EM Costs'!D27*'Who Pays'!$C$21/100</f>
        <v>2720</v>
      </c>
      <c r="E19" s="13">
        <f>$D$19*'Who Pays'!$C$21/100</f>
        <v>2720</v>
      </c>
      <c r="F19" s="13">
        <f>$D$19*'Who Pays'!$C$21/100</f>
        <v>2720</v>
      </c>
      <c r="G19" s="13">
        <f>$D$19*'Who Pays'!$C$21/100</f>
        <v>2720</v>
      </c>
      <c r="H19" s="13">
        <f>$D$19*'Who Pays'!$C$21/100</f>
        <v>2720</v>
      </c>
      <c r="I19" s="13">
        <f>$D$19*'Who Pays'!$C$21/100</f>
        <v>2720</v>
      </c>
      <c r="J19" s="13">
        <f>SUM(E19:I19)</f>
        <v>13600</v>
      </c>
      <c r="K19" s="13">
        <f>E19+F19*(1+$C$2)+G19*((1+$C$2)^2)+H19*((1+$C$2)^3)+I19*((1+$C$2)^4)</f>
        <v>15029.716999999999</v>
      </c>
    </row>
    <row r="20" spans="2:11" s="10" customFormat="1" ht="13.2" x14ac:dyDescent="0.25">
      <c r="B20" s="27" t="s">
        <v>79</v>
      </c>
    </row>
    <row r="21" spans="2:11" s="10" customFormat="1" ht="13.2" x14ac:dyDescent="0.25">
      <c r="B21" s="13" t="s">
        <v>182</v>
      </c>
      <c r="C21" s="13">
        <f>'EM Costs'!C29*'Who Pays'!$C$22/100</f>
        <v>19000</v>
      </c>
      <c r="D21" s="13">
        <f>'EM Costs'!D29*'Who Pays'!$C$22/100</f>
        <v>126.66666666666669</v>
      </c>
      <c r="E21" s="13">
        <f>$D$21*'Who Pays'!$C$22/100</f>
        <v>126.66666666666669</v>
      </c>
      <c r="F21" s="13">
        <f>$D$21*'Who Pays'!$C$22/100</f>
        <v>126.66666666666669</v>
      </c>
      <c r="G21" s="13">
        <f>$D$21*'Who Pays'!$C$22/100</f>
        <v>126.66666666666669</v>
      </c>
      <c r="H21" s="13">
        <f>$D$21*'Who Pays'!$C$22/100</f>
        <v>126.66666666666669</v>
      </c>
      <c r="I21" s="13">
        <f>$D$21*'Who Pays'!$C$22/100</f>
        <v>126.66666666666669</v>
      </c>
      <c r="J21" s="13">
        <f t="shared" ref="J21:J28" si="6">SUM(E21:I21)</f>
        <v>633.33333333333348</v>
      </c>
      <c r="K21" s="13">
        <f t="shared" ref="K21:K30" si="7">E21+F21*(1+$C$2)+G21*((1+$C$2)^2)+H21*((1+$C$2)^3)+I21*((1+$C$2)^4)</f>
        <v>699.91329166666674</v>
      </c>
    </row>
    <row r="22" spans="2:11" s="10" customFormat="1" ht="13.2" x14ac:dyDescent="0.25">
      <c r="B22" s="13" t="s">
        <v>180</v>
      </c>
      <c r="C22" s="13">
        <f>'EM Costs'!C30*'Who Pays'!$C$22/100</f>
        <v>76000</v>
      </c>
      <c r="D22" s="13">
        <f>'EM Costs'!D30*'Who Pays'!$C$22/100</f>
        <v>506.66666666666674</v>
      </c>
      <c r="E22" s="13">
        <f>$D$22*'Who Pays'!$C$22/100</f>
        <v>506.66666666666674</v>
      </c>
      <c r="F22" s="13">
        <f>$D$22*'Who Pays'!$C$22/100</f>
        <v>506.66666666666674</v>
      </c>
      <c r="G22" s="13">
        <f>$D$22*'Who Pays'!$C$22/100</f>
        <v>506.66666666666674</v>
      </c>
      <c r="H22" s="13">
        <f>$D$22*'Who Pays'!$C$22/100</f>
        <v>506.66666666666674</v>
      </c>
      <c r="I22" s="13">
        <f>$D$22*'Who Pays'!$C$22/100</f>
        <v>506.66666666666674</v>
      </c>
      <c r="J22" s="13">
        <f t="shared" si="6"/>
        <v>2533.3333333333339</v>
      </c>
      <c r="K22" s="13">
        <f t="shared" si="7"/>
        <v>2799.6531666666669</v>
      </c>
    </row>
    <row r="23" spans="2:11" s="10" customFormat="1" ht="13.2" x14ac:dyDescent="0.25">
      <c r="B23" s="13" t="s">
        <v>181</v>
      </c>
      <c r="C23" s="13">
        <f>'EM Costs'!C31*'Who Pays'!$C$22/100</f>
        <v>30400</v>
      </c>
      <c r="D23" s="13">
        <f>'EM Costs'!D31*'Who Pays'!$C$22/100</f>
        <v>202.66666666666663</v>
      </c>
      <c r="E23" s="13">
        <f>$D$23*'Who Pays'!$C$22/100</f>
        <v>202.66666666666663</v>
      </c>
      <c r="F23" s="13">
        <f>$D$23*'Who Pays'!$C$22/100</f>
        <v>202.66666666666663</v>
      </c>
      <c r="G23" s="13">
        <f>$D$23*'Who Pays'!$C$22/100</f>
        <v>202.66666666666663</v>
      </c>
      <c r="H23" s="13">
        <f>$D$23*'Who Pays'!$C$22/100</f>
        <v>202.66666666666663</v>
      </c>
      <c r="I23" s="13">
        <f>$D$23*'Who Pays'!$C$22/100</f>
        <v>202.66666666666663</v>
      </c>
      <c r="J23" s="13">
        <f t="shared" si="6"/>
        <v>1013.3333333333331</v>
      </c>
      <c r="K23" s="13">
        <f t="shared" si="7"/>
        <v>1119.8612666666663</v>
      </c>
    </row>
    <row r="24" spans="2:11" s="10" customFormat="1" ht="13.2" x14ac:dyDescent="0.25">
      <c r="B24" s="13" t="s">
        <v>80</v>
      </c>
      <c r="C24" s="13">
        <f>'EM Costs'!C32*'Who Pays'!$C$22/100</f>
        <v>157500</v>
      </c>
      <c r="D24" s="13">
        <f>'EM Costs'!D32*'Who Pays'!$C$22/100</f>
        <v>1050</v>
      </c>
      <c r="E24" s="13">
        <f>$D$24*'Who Pays'!$C$22/100</f>
        <v>1050</v>
      </c>
      <c r="F24" s="13">
        <f>$D$24*'Who Pays'!$C$22/100</f>
        <v>1050</v>
      </c>
      <c r="G24" s="13">
        <f>$D$24*'Who Pays'!$C$22/100</f>
        <v>1050</v>
      </c>
      <c r="H24" s="13">
        <f>$D$24*'Who Pays'!$C$22/100</f>
        <v>1050</v>
      </c>
      <c r="I24" s="13">
        <f>$D$24*'Who Pays'!$C$22/100</f>
        <v>1050</v>
      </c>
      <c r="J24" s="13">
        <f t="shared" si="6"/>
        <v>5250</v>
      </c>
      <c r="K24" s="13">
        <f t="shared" si="7"/>
        <v>5801.9128125000007</v>
      </c>
    </row>
    <row r="25" spans="2:11" s="10" customFormat="1" ht="13.2" x14ac:dyDescent="0.25">
      <c r="B25" s="13" t="s">
        <v>81</v>
      </c>
      <c r="C25" s="13">
        <f>'EM Costs'!C33*'Who Pays'!$C$22/100</f>
        <v>378000</v>
      </c>
      <c r="D25" s="13">
        <f>'EM Costs'!D33*'Who Pays'!$C$22/100</f>
        <v>2520</v>
      </c>
      <c r="E25" s="13">
        <f>$D$25*'Who Pays'!$C$22/100</f>
        <v>2520</v>
      </c>
      <c r="F25" s="13">
        <f>$D$25*'Who Pays'!$C$22/100</f>
        <v>2520</v>
      </c>
      <c r="G25" s="13">
        <f>$D$25*'Who Pays'!$C$22/100</f>
        <v>2520</v>
      </c>
      <c r="H25" s="13">
        <f>$D$25*'Who Pays'!$C$22/100</f>
        <v>2520</v>
      </c>
      <c r="I25" s="13">
        <f>$D$25*'Who Pays'!$C$22/100</f>
        <v>2520</v>
      </c>
      <c r="J25" s="13">
        <f t="shared" si="6"/>
        <v>12600</v>
      </c>
      <c r="K25" s="13">
        <f t="shared" si="7"/>
        <v>13924.590749999999</v>
      </c>
    </row>
    <row r="26" spans="2:11" s="10" customFormat="1" ht="13.2" x14ac:dyDescent="0.25">
      <c r="B26" s="13" t="s">
        <v>82</v>
      </c>
      <c r="C26" s="13">
        <f>'EM Costs'!C34*'Who Pays'!$C$22/100</f>
        <v>378000</v>
      </c>
      <c r="D26" s="13">
        <f>'EM Costs'!D34*'Who Pays'!$C$22/100</f>
        <v>2520</v>
      </c>
      <c r="E26" s="13">
        <f>$D$26*'Who Pays'!$C$22/100</f>
        <v>2520</v>
      </c>
      <c r="F26" s="13">
        <f>$D$26*'Who Pays'!$C$22/100</f>
        <v>2520</v>
      </c>
      <c r="G26" s="13">
        <f>$D$26*'Who Pays'!$C$22/100</f>
        <v>2520</v>
      </c>
      <c r="H26" s="13">
        <f>$D$26*'Who Pays'!$C$22/100</f>
        <v>2520</v>
      </c>
      <c r="I26" s="13">
        <f>$D$26*'Who Pays'!$C$22/100</f>
        <v>2520</v>
      </c>
      <c r="J26" s="13">
        <f t="shared" si="6"/>
        <v>12600</v>
      </c>
      <c r="K26" s="13">
        <f t="shared" si="7"/>
        <v>13924.590749999999</v>
      </c>
    </row>
    <row r="27" spans="2:11" s="10" customFormat="1" ht="13.2" x14ac:dyDescent="0.25">
      <c r="B27" s="13" t="s">
        <v>83</v>
      </c>
      <c r="C27" s="13">
        <f>'EM Costs'!C35*'Who Pays'!$C$22/100</f>
        <v>0</v>
      </c>
      <c r="D27" s="13">
        <f>'EM Costs'!D35*'Who Pays'!$C$22/100</f>
        <v>0</v>
      </c>
      <c r="E27" s="13">
        <f>$D$27*'Who Pays'!$C$22/100</f>
        <v>0</v>
      </c>
      <c r="F27" s="13">
        <f>$D$27*'Who Pays'!$C$22/100</f>
        <v>0</v>
      </c>
      <c r="G27" s="13">
        <f>$D$27*'Who Pays'!$C$22/100</f>
        <v>0</v>
      </c>
      <c r="H27" s="13">
        <f>$D$27*'Who Pays'!$C$22/100</f>
        <v>0</v>
      </c>
      <c r="I27" s="13">
        <f>$D$27*'Who Pays'!$C$22/100</f>
        <v>0</v>
      </c>
      <c r="J27" s="13">
        <f>SUM(E27:I27)</f>
        <v>0</v>
      </c>
      <c r="K27" s="13">
        <f t="shared" si="7"/>
        <v>0</v>
      </c>
    </row>
    <row r="28" spans="2:11" s="10" customFormat="1" ht="13.2" x14ac:dyDescent="0.25">
      <c r="B28" s="13" t="s">
        <v>84</v>
      </c>
      <c r="C28" s="13">
        <f>'EM Costs'!C36*'Who Pays'!$C$22/100</f>
        <v>0</v>
      </c>
      <c r="D28" s="13">
        <f>'EM Costs'!D36*'Who Pays'!$C$22/100</f>
        <v>0</v>
      </c>
      <c r="E28" s="13">
        <f>$D$28*'Who Pays'!$C$22/100</f>
        <v>0</v>
      </c>
      <c r="F28" s="13">
        <f>$D$28*'Who Pays'!$C$22/100</f>
        <v>0</v>
      </c>
      <c r="G28" s="13">
        <f>$D$28*'Who Pays'!$C$22/100</f>
        <v>0</v>
      </c>
      <c r="H28" s="13">
        <f>$D$28*'Who Pays'!$C$22/100</f>
        <v>0</v>
      </c>
      <c r="I28" s="13">
        <f>$D$28*'Who Pays'!$C$22/100</f>
        <v>0</v>
      </c>
      <c r="J28" s="13">
        <f t="shared" si="6"/>
        <v>0</v>
      </c>
      <c r="K28" s="13">
        <f t="shared" si="7"/>
        <v>0</v>
      </c>
    </row>
    <row r="29" spans="2:11" s="10" customFormat="1" ht="13.2" x14ac:dyDescent="0.25">
      <c r="B29" s="27" t="s">
        <v>85</v>
      </c>
      <c r="K29" s="10">
        <f t="shared" si="7"/>
        <v>0</v>
      </c>
    </row>
    <row r="30" spans="2:11" s="10" customFormat="1" ht="13.2" x14ac:dyDescent="0.25">
      <c r="B30" s="13" t="s">
        <v>192</v>
      </c>
      <c r="C30" s="13">
        <f>'EM Costs'!C38*'Who Pays'!$C$23/100</f>
        <v>283500</v>
      </c>
      <c r="D30" s="13">
        <f>'EM Costs'!D38*'Who Pays'!$C$23/100</f>
        <v>1890</v>
      </c>
      <c r="E30" s="13">
        <f>$D$30*'Who Pays'!$C$23/100</f>
        <v>1890</v>
      </c>
      <c r="F30" s="13">
        <f>$D$30*'Who Pays'!$C$23/100</f>
        <v>1890</v>
      </c>
      <c r="G30" s="13">
        <f>$D$30*'Who Pays'!$C$23/100</f>
        <v>1890</v>
      </c>
      <c r="H30" s="13">
        <f>$D$30*'Who Pays'!$C$23/100</f>
        <v>1890</v>
      </c>
      <c r="I30" s="13">
        <f>$D$30*'Who Pays'!$C$23/100</f>
        <v>1890</v>
      </c>
      <c r="J30" s="13">
        <f>SUM(E30:I30)</f>
        <v>9450</v>
      </c>
      <c r="K30" s="13">
        <f t="shared" si="7"/>
        <v>10443.4430625</v>
      </c>
    </row>
    <row r="31" spans="2:11" s="10" customFormat="1" ht="13.2" x14ac:dyDescent="0.25">
      <c r="I31" s="34" t="s">
        <v>178</v>
      </c>
      <c r="J31" s="33">
        <f>SUM(J5:J30)</f>
        <v>79388</v>
      </c>
      <c r="K31" s="33">
        <f>SUM(K5:K30)</f>
        <v>86689.543693749991</v>
      </c>
    </row>
    <row r="32" spans="2:11" s="10" customFormat="1" ht="13.2" x14ac:dyDescent="0.25"/>
    <row r="33" spans="2:11" s="10" customFormat="1" ht="13.2" x14ac:dyDescent="0.25"/>
    <row r="34" spans="2:11" s="10" customFormat="1" ht="13.2" x14ac:dyDescent="0.25">
      <c r="B34" s="35" t="s">
        <v>194</v>
      </c>
      <c r="C34" s="35" t="str">
        <f>'ASO Costs'!C9</f>
        <v>Total Annual Cost</v>
      </c>
      <c r="D34" s="35" t="str">
        <f>'ASO Costs'!D9</f>
        <v>Cost per Vessel</v>
      </c>
      <c r="E34" s="35" t="s">
        <v>104</v>
      </c>
      <c r="F34" s="35" t="s">
        <v>105</v>
      </c>
      <c r="G34" s="35" t="s">
        <v>106</v>
      </c>
      <c r="H34" s="35" t="s">
        <v>107</v>
      </c>
      <c r="I34" s="35" t="s">
        <v>108</v>
      </c>
      <c r="J34" s="35" t="s">
        <v>219</v>
      </c>
      <c r="K34" s="35" t="s">
        <v>109</v>
      </c>
    </row>
    <row r="35" spans="2:11" s="10" customFormat="1" ht="13.2" x14ac:dyDescent="0.25">
      <c r="B35" s="27" t="s">
        <v>69</v>
      </c>
    </row>
    <row r="36" spans="2:11" s="10" customFormat="1" ht="13.2" x14ac:dyDescent="0.25">
      <c r="B36" s="13" t="s">
        <v>130</v>
      </c>
      <c r="C36" s="13">
        <f>'ASO Costs'!C11*'Who Pays'!$C$5/100</f>
        <v>127499.4</v>
      </c>
      <c r="D36" s="13">
        <f>'ASO Costs'!D11*'Who Pays'!$C$5/100</f>
        <v>849.99600000000009</v>
      </c>
      <c r="E36" s="13">
        <f>$D$36*'Who Pays'!$C$5/100</f>
        <v>849.99600000000009</v>
      </c>
      <c r="F36" s="13">
        <f>$D$36*'Who Pays'!$C$5/100</f>
        <v>849.99600000000009</v>
      </c>
      <c r="G36" s="13">
        <f>$D$36*'Who Pays'!$C$5/100</f>
        <v>849.99600000000009</v>
      </c>
      <c r="H36" s="13">
        <f>$D$36*'Who Pays'!$C$5/100</f>
        <v>849.99600000000009</v>
      </c>
      <c r="I36" s="13">
        <f>$D$36*'Who Pays'!$C$5/100</f>
        <v>849.99600000000009</v>
      </c>
      <c r="J36" s="13">
        <f>SUM(E36:I36)</f>
        <v>4249.9800000000005</v>
      </c>
      <c r="K36" s="13">
        <f t="shared" ref="K36" si="8">E36+F36*(1+$C$2)+G36*((1+$C$2)^2)+H36*((1+$C$2)^3)+I36*((1+$C$2)^4)</f>
        <v>4696.7644599750001</v>
      </c>
    </row>
    <row r="37" spans="2:11" s="10" customFormat="1" ht="13.2" x14ac:dyDescent="0.25">
      <c r="B37" s="27" t="s">
        <v>88</v>
      </c>
    </row>
    <row r="38" spans="2:11" s="10" customFormat="1" ht="13.2" x14ac:dyDescent="0.25">
      <c r="B38" s="13" t="s">
        <v>89</v>
      </c>
      <c r="C38" s="13">
        <f>'ASO Costs'!C13*'Who Pays'!$C$6/100</f>
        <v>4500000</v>
      </c>
      <c r="D38" s="13">
        <f>'ASO Costs'!D13*'Who Pays'!$C$6/100</f>
        <v>30000</v>
      </c>
      <c r="E38" s="13">
        <f>$D$38*'Who Pays'!$C$6/100</f>
        <v>30000</v>
      </c>
      <c r="F38" s="13">
        <f>$D$38*'Who Pays'!$C$6/100</f>
        <v>30000</v>
      </c>
      <c r="G38" s="13">
        <f>$D$38*'Who Pays'!$C$6/100</f>
        <v>30000</v>
      </c>
      <c r="H38" s="13">
        <f>$D$38*'Who Pays'!$C$6/100</f>
        <v>30000</v>
      </c>
      <c r="I38" s="13">
        <f>$D$38*'Who Pays'!$C$6/100</f>
        <v>30000</v>
      </c>
      <c r="J38" s="13">
        <f t="shared" ref="J38:J39" si="9">SUM(E38:I38)</f>
        <v>150000</v>
      </c>
      <c r="K38" s="13">
        <f t="shared" ref="K38:K39" si="10">E38+F38*(1+$C$2)+G38*((1+$C$2)^2)+H38*((1+$C$2)^3)+I38*((1+$C$2)^4)</f>
        <v>165768.9375</v>
      </c>
    </row>
    <row r="39" spans="2:11" s="10" customFormat="1" ht="13.2" x14ac:dyDescent="0.25">
      <c r="B39" s="13" t="s">
        <v>90</v>
      </c>
      <c r="C39" s="13">
        <f>'ASO Costs'!C14*'Who Pays'!$C$7/100</f>
        <v>67500</v>
      </c>
      <c r="D39" s="13">
        <f>'ASO Costs'!D14*'Who Pays'!$C$7/100</f>
        <v>450</v>
      </c>
      <c r="E39" s="13">
        <f>$D$39*'Who Pays'!$C$7/100</f>
        <v>450</v>
      </c>
      <c r="F39" s="13">
        <f>$D$39*'Who Pays'!$C$7/100</f>
        <v>450</v>
      </c>
      <c r="G39" s="13">
        <f>$D$39*'Who Pays'!$C$7/100</f>
        <v>450</v>
      </c>
      <c r="H39" s="13">
        <f>$D$39*'Who Pays'!$C$7/100</f>
        <v>450</v>
      </c>
      <c r="I39" s="13">
        <f>$D$39*'Who Pays'!$C$7/100</f>
        <v>450</v>
      </c>
      <c r="J39" s="13">
        <f t="shared" si="9"/>
        <v>2250</v>
      </c>
      <c r="K39" s="13">
        <f t="shared" si="10"/>
        <v>2486.5340624999999</v>
      </c>
    </row>
    <row r="40" spans="2:11" s="10" customFormat="1" ht="13.2" x14ac:dyDescent="0.25">
      <c r="B40" s="27" t="s">
        <v>91</v>
      </c>
    </row>
    <row r="41" spans="2:11" s="10" customFormat="1" ht="13.2" x14ac:dyDescent="0.25">
      <c r="B41" s="13" t="s">
        <v>92</v>
      </c>
      <c r="C41" s="13">
        <f>'ASO Costs'!C16*'Who Pays'!$C$8/100</f>
        <v>95580</v>
      </c>
      <c r="D41" s="13">
        <f>'ASO Costs'!D16*'Who Pays'!$C$8/100</f>
        <v>637.20000000000005</v>
      </c>
      <c r="E41" s="13">
        <f>$D$41*'Who Pays'!$C$8/100</f>
        <v>637.20000000000005</v>
      </c>
      <c r="F41" s="13">
        <f>$D$41*'Who Pays'!$C$8/100</f>
        <v>637.20000000000005</v>
      </c>
      <c r="G41" s="13">
        <f>$D$41*'Who Pays'!$C$8/100</f>
        <v>637.20000000000005</v>
      </c>
      <c r="H41" s="13">
        <f>$D$41*'Who Pays'!$C$8/100</f>
        <v>637.20000000000005</v>
      </c>
      <c r="I41" s="13">
        <f>$D$41*'Who Pays'!$C$8/100</f>
        <v>637.20000000000005</v>
      </c>
      <c r="J41" s="13">
        <f>SUM(E41:I41)</f>
        <v>3186</v>
      </c>
      <c r="K41" s="13">
        <f t="shared" ref="K41" si="11">E41+F41*(1+$C$2)+G41*((1+$C$2)^2)+H41*((1+$C$2)^3)+I41*((1+$C$2)^4)</f>
        <v>3520.9322325000003</v>
      </c>
    </row>
    <row r="42" spans="2:11" s="10" customFormat="1" ht="13.2" x14ac:dyDescent="0.25">
      <c r="B42" s="27" t="s">
        <v>93</v>
      </c>
    </row>
    <row r="43" spans="2:11" s="10" customFormat="1" ht="13.2" x14ac:dyDescent="0.25">
      <c r="B43" s="13" t="s">
        <v>94</v>
      </c>
      <c r="C43" s="13">
        <f>'ASO Costs'!C18*'Who Pays'!$C$9/100</f>
        <v>90000</v>
      </c>
      <c r="D43" s="13">
        <f>'ASO Costs'!D18*'Who Pays'!$C$9/100</f>
        <v>600</v>
      </c>
      <c r="E43" s="13">
        <f>$D$43*'Who Pays'!$C$9/100</f>
        <v>600</v>
      </c>
      <c r="F43" s="13">
        <f>$D$43*'Who Pays'!$C$9/100</f>
        <v>600</v>
      </c>
      <c r="G43" s="13">
        <f>$D$43*'Who Pays'!$C$9/100</f>
        <v>600</v>
      </c>
      <c r="H43" s="13">
        <f>$D$43*'Who Pays'!$C$9/100</f>
        <v>600</v>
      </c>
      <c r="I43" s="13">
        <f>$D$43*'Who Pays'!$C$9/100</f>
        <v>600</v>
      </c>
      <c r="J43" s="13">
        <f>SUM(E43:I43)</f>
        <v>3000</v>
      </c>
      <c r="K43" s="13">
        <f t="shared" ref="K43" si="12">E43+F43*(1+$C$2)+G43*((1+$C$2)^2)+H43*((1+$C$2)^3)+I43*((1+$C$2)^4)</f>
        <v>3315.3787499999999</v>
      </c>
    </row>
    <row r="44" spans="2:11" s="10" customFormat="1" ht="13.2" x14ac:dyDescent="0.25">
      <c r="B44" s="27" t="s">
        <v>95</v>
      </c>
    </row>
    <row r="45" spans="2:11" s="10" customFormat="1" ht="13.2" x14ac:dyDescent="0.25">
      <c r="B45" s="13" t="s">
        <v>96</v>
      </c>
      <c r="C45" s="13">
        <f>'ASO Costs'!C20*'Who Pays'!$C$10/100</f>
        <v>382499.55</v>
      </c>
      <c r="D45" s="13">
        <f>'ASO Costs'!D20*'Who Pays'!$C$10/100</f>
        <v>2549.9969999999998</v>
      </c>
      <c r="E45" s="13">
        <f>$D$45*'Who Pays'!$C$10/100</f>
        <v>2549.9969999999998</v>
      </c>
      <c r="F45" s="13">
        <f>$D$45*'Who Pays'!$C$10/100</f>
        <v>2549.9969999999998</v>
      </c>
      <c r="G45" s="13">
        <f>$D$45*'Who Pays'!$C$10/100</f>
        <v>2549.9969999999998</v>
      </c>
      <c r="H45" s="13">
        <f>$D$45*'Who Pays'!$C$10/100</f>
        <v>2549.9969999999998</v>
      </c>
      <c r="I45" s="13">
        <f>$D$45*'Who Pays'!$C$10/100</f>
        <v>2549.9969999999998</v>
      </c>
      <c r="J45" s="13">
        <f>SUM(E45:I45)</f>
        <v>12749.984999999999</v>
      </c>
      <c r="K45" s="13">
        <f t="shared" ref="K45" si="13">E45+F45*(1+$C$2)+G45*((1+$C$2)^2)+H45*((1+$C$2)^3)+I45*((1+$C$2)^4)</f>
        <v>14090.343110606251</v>
      </c>
    </row>
    <row r="46" spans="2:11" s="10" customFormat="1" ht="13.2" x14ac:dyDescent="0.25">
      <c r="B46" s="27" t="s">
        <v>97</v>
      </c>
    </row>
    <row r="47" spans="2:11" s="10" customFormat="1" ht="13.2" x14ac:dyDescent="0.25">
      <c r="B47" s="13" t="s">
        <v>127</v>
      </c>
      <c r="C47" s="13">
        <f>'ASO Costs'!C22*'Who Pays'!$C$11/100</f>
        <v>18000</v>
      </c>
      <c r="D47" s="13">
        <f>'ASO Costs'!D22*'Who Pays'!$C$11/100</f>
        <v>120</v>
      </c>
      <c r="E47" s="13">
        <f>$D$47*'Who Pays'!$C$11/100</f>
        <v>120</v>
      </c>
      <c r="F47" s="13">
        <f>$D$47*'Who Pays'!$C$11/100</f>
        <v>120</v>
      </c>
      <c r="G47" s="13">
        <f>$D$47*'Who Pays'!$C$11/100</f>
        <v>120</v>
      </c>
      <c r="H47" s="13">
        <f>$D$47*'Who Pays'!$C$11/100</f>
        <v>120</v>
      </c>
      <c r="I47" s="13">
        <f>$D$47*'Who Pays'!$C$11/100</f>
        <v>120</v>
      </c>
      <c r="J47" s="13">
        <f>SUM(E47:I47)</f>
        <v>600</v>
      </c>
      <c r="K47" s="13">
        <f t="shared" ref="K47" si="14">E47+F47*(1+$C$2)+G47*((1+$C$2)^2)+H47*((1+$C$2)^3)+I47*((1+$C$2)^4)</f>
        <v>663.07574999999997</v>
      </c>
    </row>
    <row r="48" spans="2:11" s="10" customFormat="1" ht="13.2" x14ac:dyDescent="0.25">
      <c r="B48" s="27" t="s">
        <v>98</v>
      </c>
    </row>
    <row r="49" spans="2:11" s="10" customFormat="1" ht="13.2" x14ac:dyDescent="0.25">
      <c r="B49" s="13" t="s">
        <v>99</v>
      </c>
      <c r="C49" s="13">
        <f>'ASO Costs'!C24*'Who Pays'!$C$12/100</f>
        <v>60030</v>
      </c>
      <c r="D49" s="13">
        <f>'ASO Costs'!D24*'Who Pays'!$C$12/100</f>
        <v>400.2</v>
      </c>
      <c r="E49" s="13">
        <f>$D$49*'Who Pays'!$C$12/100</f>
        <v>400.2</v>
      </c>
      <c r="F49" s="13">
        <f>$D$49*'Who Pays'!$C$12/100</f>
        <v>400.2</v>
      </c>
      <c r="G49" s="13">
        <f>$D$49*'Who Pays'!$C$12/100</f>
        <v>400.2</v>
      </c>
      <c r="H49" s="13">
        <f>$D$49*'Who Pays'!$C$12/100</f>
        <v>400.2</v>
      </c>
      <c r="I49" s="13">
        <f>$D$49*'Who Pays'!$C$12/100</f>
        <v>400.2</v>
      </c>
      <c r="J49" s="13">
        <f>SUM(E49:I49)</f>
        <v>2001</v>
      </c>
      <c r="K49" s="13">
        <f t="shared" ref="K49" si="15">E49+F49*(1+$C$2)+G49*((1+$C$2)^2)+H49*((1+$C$2)^3)+I49*((1+$C$2)^4)</f>
        <v>2211.3576262500001</v>
      </c>
    </row>
    <row r="50" spans="2:11" s="10" customFormat="1" ht="13.2" x14ac:dyDescent="0.25">
      <c r="I50" s="34" t="s">
        <v>178</v>
      </c>
      <c r="J50" s="33">
        <f>SUM(J36:J49)</f>
        <v>178036.965</v>
      </c>
      <c r="K50" s="33">
        <f>SUM(K36:K49)</f>
        <v>196753.32349183125</v>
      </c>
    </row>
    <row r="51" spans="2:11" s="10" customFormat="1" ht="13.2" x14ac:dyDescent="0.25"/>
    <row r="52" spans="2:11" s="10" customFormat="1" ht="13.2" x14ac:dyDescent="0.25"/>
    <row r="53" spans="2:11" s="10" customFormat="1" ht="13.2" x14ac:dyDescent="0.25"/>
    <row r="54" spans="2:11" s="10" customFormat="1" ht="13.2" x14ac:dyDescent="0.25"/>
    <row r="55" spans="2:11" s="10" customFormat="1" ht="13.2" x14ac:dyDescent="0.25"/>
    <row r="56" spans="2:11" s="10" customFormat="1" ht="13.2" x14ac:dyDescent="0.25"/>
    <row r="57" spans="2:11" s="10" customFormat="1" ht="13.2" x14ac:dyDescent="0.25"/>
    <row r="58" spans="2:11" s="10" customFormat="1" ht="13.2" x14ac:dyDescent="0.25"/>
    <row r="59" spans="2:11" s="10" customFormat="1" ht="13.2" x14ac:dyDescent="0.25"/>
    <row r="60" spans="2:11" s="10" customFormat="1" ht="13.2" x14ac:dyDescent="0.25"/>
    <row r="61" spans="2:11" s="10" customFormat="1" ht="13.2" x14ac:dyDescent="0.25"/>
    <row r="62" spans="2:11" s="10" customFormat="1" ht="13.2" x14ac:dyDescent="0.25"/>
    <row r="63" spans="2:11" s="10" customFormat="1" ht="13.2"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3"/>
  <sheetViews>
    <sheetView workbookViewId="0"/>
  </sheetViews>
  <sheetFormatPr defaultColWidth="9.109375" defaultRowHeight="13.8" x14ac:dyDescent="0.25"/>
  <cols>
    <col min="1" max="1" width="5.6640625" style="2" customWidth="1"/>
    <col min="2" max="2" width="55.6640625" style="2" bestFit="1" customWidth="1"/>
    <col min="3" max="3" width="17.6640625" style="2" bestFit="1" customWidth="1"/>
    <col min="4" max="4" width="16" style="2" bestFit="1" customWidth="1"/>
    <col min="5" max="5" width="9.109375" style="2"/>
    <col min="6" max="6" width="11.33203125" style="2" bestFit="1" customWidth="1"/>
    <col min="7" max="7" width="13.33203125" style="2" bestFit="1" customWidth="1"/>
    <col min="8" max="8" width="12" style="2" bestFit="1" customWidth="1"/>
    <col min="9" max="9" width="9.109375" style="2"/>
    <col min="10" max="10" width="16.33203125" style="2" bestFit="1" customWidth="1"/>
    <col min="11" max="11" width="13.33203125" style="2" bestFit="1" customWidth="1"/>
    <col min="12" max="16384" width="9.109375" style="2"/>
  </cols>
  <sheetData>
    <row r="1" spans="2:11" s="1" customFormat="1" ht="24.9" customHeight="1" x14ac:dyDescent="0.4">
      <c r="B1" s="36" t="s">
        <v>0</v>
      </c>
    </row>
    <row r="2" spans="2:11" s="10" customFormat="1" ht="13.2" x14ac:dyDescent="0.25">
      <c r="B2" s="40" t="s">
        <v>195</v>
      </c>
      <c r="C2" s="43">
        <v>0.05</v>
      </c>
    </row>
    <row r="3" spans="2:11" s="10" customFormat="1" ht="13.2" x14ac:dyDescent="0.25">
      <c r="B3" s="35" t="s">
        <v>193</v>
      </c>
      <c r="C3" s="35" t="s">
        <v>218</v>
      </c>
      <c r="D3" s="35" t="s">
        <v>153</v>
      </c>
      <c r="E3" s="35" t="s">
        <v>104</v>
      </c>
      <c r="F3" s="35" t="s">
        <v>105</v>
      </c>
      <c r="G3" s="35" t="s">
        <v>106</v>
      </c>
      <c r="H3" s="35" t="s">
        <v>107</v>
      </c>
      <c r="I3" s="35" t="s">
        <v>108</v>
      </c>
      <c r="J3" s="35" t="s">
        <v>219</v>
      </c>
      <c r="K3" s="35" t="s">
        <v>109</v>
      </c>
    </row>
    <row r="4" spans="2:11" s="10" customFormat="1" ht="13.2" x14ac:dyDescent="0.25">
      <c r="B4" s="27" t="s">
        <v>69</v>
      </c>
    </row>
    <row r="5" spans="2:11" s="10" customFormat="1" ht="13.2" x14ac:dyDescent="0.25">
      <c r="B5" s="13" t="s">
        <v>137</v>
      </c>
      <c r="C5" s="13">
        <f>'EM Costs'!C13</f>
        <v>318750</v>
      </c>
      <c r="D5" s="13">
        <f>'EM Costs'!D13</f>
        <v>2125</v>
      </c>
      <c r="E5" s="13">
        <f>$D$5*'Who Pays'!E17/100</f>
        <v>0</v>
      </c>
      <c r="F5" s="13">
        <f>$D$5*'Who Pays'!E17/100</f>
        <v>0</v>
      </c>
      <c r="G5" s="13">
        <f>$D$5*'Who Pays'!E17/100</f>
        <v>0</v>
      </c>
      <c r="H5" s="13">
        <f>$D$5*'Who Pays'!E17/100</f>
        <v>0</v>
      </c>
      <c r="I5" s="13">
        <f>$D$5*'Who Pays'!E17/100</f>
        <v>0</v>
      </c>
      <c r="J5" s="13">
        <f>SUM(E5:I5)</f>
        <v>0</v>
      </c>
      <c r="K5" s="13">
        <f>E5+F5*(1+$C$2)+G5*((1+$C$2)^2)+H5*((1+$C$2)^3)+I5*((1+$C$2)^4)</f>
        <v>0</v>
      </c>
    </row>
    <row r="6" spans="2:11" s="10" customFormat="1" ht="13.2" x14ac:dyDescent="0.25">
      <c r="B6" s="27" t="s">
        <v>71</v>
      </c>
    </row>
    <row r="7" spans="2:11" s="10" customFormat="1" ht="13.2" x14ac:dyDescent="0.25">
      <c r="B7" s="13" t="s">
        <v>146</v>
      </c>
      <c r="C7" s="13">
        <f>'EM Costs'!C15*'Who Pays'!$E$18/100</f>
        <v>0</v>
      </c>
      <c r="D7" s="13">
        <f>'EM Costs'!D15*'Who Pays'!$E$18/100</f>
        <v>0</v>
      </c>
      <c r="E7" s="13">
        <f>D7*'Who Pays'!$E$18/100</f>
        <v>0</v>
      </c>
      <c r="F7" s="13">
        <v>0</v>
      </c>
      <c r="G7" s="13">
        <v>0</v>
      </c>
      <c r="H7" s="13">
        <v>0</v>
      </c>
      <c r="I7" s="13">
        <v>0</v>
      </c>
      <c r="J7" s="13">
        <f t="shared" ref="J7:J9" si="0">SUM(E7:I7)</f>
        <v>0</v>
      </c>
      <c r="K7" s="13">
        <f t="shared" ref="K7:K9" si="1">E7+F7*(1+$C$2)+G7*((1+$C$2)^2)+H7*((1+$C$2)^3)+I7*((1+$C$2)^4)</f>
        <v>0</v>
      </c>
    </row>
    <row r="8" spans="2:11" s="10" customFormat="1" ht="13.2" x14ac:dyDescent="0.25">
      <c r="B8" s="13" t="s">
        <v>72</v>
      </c>
      <c r="C8" s="13">
        <f>'EM Costs'!C16*'Who Pays'!$E$18/100</f>
        <v>0</v>
      </c>
      <c r="D8" s="13">
        <f>'EM Costs'!D16*'Who Pays'!$E$18/100</f>
        <v>0</v>
      </c>
      <c r="E8" s="13">
        <f>D8*'Who Pays'!$E$18/100</f>
        <v>0</v>
      </c>
      <c r="F8" s="13">
        <v>0</v>
      </c>
      <c r="G8" s="13">
        <v>0</v>
      </c>
      <c r="H8" s="13">
        <v>0</v>
      </c>
      <c r="I8" s="13">
        <v>0</v>
      </c>
      <c r="J8" s="13">
        <f t="shared" si="0"/>
        <v>0</v>
      </c>
      <c r="K8" s="13">
        <f t="shared" si="1"/>
        <v>0</v>
      </c>
    </row>
    <row r="9" spans="2:11" s="10" customFormat="1" ht="13.2" x14ac:dyDescent="0.25">
      <c r="B9" s="13" t="s">
        <v>73</v>
      </c>
      <c r="C9" s="13">
        <f>'EM Costs'!C17*'Who Pays'!$E$18/100</f>
        <v>0</v>
      </c>
      <c r="D9" s="13">
        <f>'EM Costs'!D17*'Who Pays'!$E$18/100</f>
        <v>0</v>
      </c>
      <c r="E9" s="13">
        <f>D9*'Who Pays'!$E$18/100</f>
        <v>0</v>
      </c>
      <c r="F9" s="13">
        <v>0</v>
      </c>
      <c r="G9" s="13">
        <v>0</v>
      </c>
      <c r="H9" s="13">
        <v>0</v>
      </c>
      <c r="I9" s="13">
        <v>0</v>
      </c>
      <c r="J9" s="13">
        <f t="shared" si="0"/>
        <v>0</v>
      </c>
      <c r="K9" s="13">
        <f t="shared" si="1"/>
        <v>0</v>
      </c>
    </row>
    <row r="10" spans="2:11" s="10" customFormat="1" ht="13.2" x14ac:dyDescent="0.25">
      <c r="B10" s="27" t="s">
        <v>74</v>
      </c>
    </row>
    <row r="11" spans="2:11" s="10" customFormat="1" ht="13.2" x14ac:dyDescent="0.25">
      <c r="B11" s="13" t="s">
        <v>70</v>
      </c>
      <c r="C11" s="13">
        <f>'EM Costs'!C19*'Who Pays'!$E$19/100</f>
        <v>0</v>
      </c>
      <c r="D11" s="13">
        <f>'EM Costs'!D19*'Who Pays'!$E$19/100</f>
        <v>0</v>
      </c>
      <c r="E11" s="13">
        <f>D11*'Who Pays'!$E$19/100</f>
        <v>0</v>
      </c>
      <c r="F11" s="13">
        <v>0</v>
      </c>
      <c r="G11" s="13">
        <v>0</v>
      </c>
      <c r="H11" s="13">
        <v>0</v>
      </c>
      <c r="I11" s="13">
        <v>0</v>
      </c>
      <c r="J11" s="13">
        <f t="shared" ref="J11:J13" si="2">SUM(E11:I11)</f>
        <v>0</v>
      </c>
      <c r="K11" s="13">
        <f t="shared" ref="K11:K13" si="3">E11+F11*(1+$C$2)+G11*((1+$C$2)^2)+H11*((1+$C$2)^3)+I11*((1+$C$2)^4)</f>
        <v>0</v>
      </c>
    </row>
    <row r="12" spans="2:11" s="10" customFormat="1" ht="13.2" x14ac:dyDescent="0.25">
      <c r="B12" s="13" t="s">
        <v>75</v>
      </c>
      <c r="C12" s="13">
        <f>'EM Costs'!C20*'Who Pays'!$E$19/100</f>
        <v>0</v>
      </c>
      <c r="D12" s="13">
        <f>'EM Costs'!D20*'Who Pays'!$E$19/100</f>
        <v>0</v>
      </c>
      <c r="E12" s="13">
        <f>D12*'Who Pays'!$E$19/100</f>
        <v>0</v>
      </c>
      <c r="F12" s="13">
        <v>0</v>
      </c>
      <c r="G12" s="13">
        <v>0</v>
      </c>
      <c r="H12" s="13">
        <v>0</v>
      </c>
      <c r="I12" s="13">
        <v>0</v>
      </c>
      <c r="J12" s="13">
        <f t="shared" si="2"/>
        <v>0</v>
      </c>
      <c r="K12" s="13">
        <f t="shared" si="3"/>
        <v>0</v>
      </c>
    </row>
    <row r="13" spans="2:11" s="10" customFormat="1" ht="13.2" x14ac:dyDescent="0.25">
      <c r="B13" s="13" t="s">
        <v>76</v>
      </c>
      <c r="C13" s="13">
        <f>'EM Costs'!C21*'Who Pays'!$E$19/100</f>
        <v>0</v>
      </c>
      <c r="D13" s="13">
        <f>'EM Costs'!D21*'Who Pays'!$E$19/100</f>
        <v>0</v>
      </c>
      <c r="E13" s="13">
        <f>D13*'Who Pays'!$E$19/100</f>
        <v>0</v>
      </c>
      <c r="F13" s="13">
        <v>0</v>
      </c>
      <c r="G13" s="13">
        <v>0</v>
      </c>
      <c r="H13" s="13">
        <v>0</v>
      </c>
      <c r="I13" s="13">
        <v>0</v>
      </c>
      <c r="J13" s="13">
        <f t="shared" si="2"/>
        <v>0</v>
      </c>
      <c r="K13" s="13">
        <f t="shared" si="3"/>
        <v>0</v>
      </c>
    </row>
    <row r="14" spans="2:11" s="10" customFormat="1" ht="13.2" x14ac:dyDescent="0.25">
      <c r="B14" s="27" t="s">
        <v>77</v>
      </c>
    </row>
    <row r="15" spans="2:11" s="10" customFormat="1" ht="13.2" x14ac:dyDescent="0.25">
      <c r="B15" s="13" t="s">
        <v>70</v>
      </c>
      <c r="C15" s="13">
        <f>'EM Costs'!C23*'Who Pays'!$E$20/100</f>
        <v>0</v>
      </c>
      <c r="D15" s="13">
        <f>'EM Costs'!D23*'Who Pays'!$E$20/100</f>
        <v>0</v>
      </c>
      <c r="E15" s="13">
        <f>$D$15*'Who Pays'!$E$20/100</f>
        <v>0</v>
      </c>
      <c r="F15" s="13">
        <f>$D$15*'Who Pays'!$E$20/100</f>
        <v>0</v>
      </c>
      <c r="G15" s="13">
        <f>$D$15*'Who Pays'!$E$20/100</f>
        <v>0</v>
      </c>
      <c r="H15" s="13">
        <f>$D$15*'Who Pays'!$E$20/100</f>
        <v>0</v>
      </c>
      <c r="I15" s="13">
        <f>$D$15*'Who Pays'!$E$20/100</f>
        <v>0</v>
      </c>
      <c r="J15" s="13">
        <f t="shared" ref="J15:J17" si="4">SUM(E15:I15)</f>
        <v>0</v>
      </c>
      <c r="K15" s="13">
        <f t="shared" ref="K15:K17" si="5">E15+F15*(1+$C$2)+G15*((1+$C$2)^2)+H15*((1+$C$2)^3)+I15*((1+$C$2)^4)</f>
        <v>0</v>
      </c>
    </row>
    <row r="16" spans="2:11" s="10" customFormat="1" ht="13.2" x14ac:dyDescent="0.25">
      <c r="B16" s="13" t="s">
        <v>75</v>
      </c>
      <c r="C16" s="13">
        <f>'EM Costs'!C24*'Who Pays'!$E$20/100</f>
        <v>0</v>
      </c>
      <c r="D16" s="13">
        <f>'EM Costs'!D24*'Who Pays'!$E$20/100</f>
        <v>0</v>
      </c>
      <c r="E16" s="13">
        <f>$D$16*'Who Pays'!$E$20/100</f>
        <v>0</v>
      </c>
      <c r="F16" s="13">
        <f>$D$16*'Who Pays'!$E$20/100</f>
        <v>0</v>
      </c>
      <c r="G16" s="13">
        <f>$D$16*'Who Pays'!$E$20/100</f>
        <v>0</v>
      </c>
      <c r="H16" s="13">
        <f>$D$16*'Who Pays'!$E$20/100</f>
        <v>0</v>
      </c>
      <c r="I16" s="13">
        <f>$D$16*'Who Pays'!$E$20/100</f>
        <v>0</v>
      </c>
      <c r="J16" s="13">
        <f t="shared" si="4"/>
        <v>0</v>
      </c>
      <c r="K16" s="13">
        <f t="shared" si="5"/>
        <v>0</v>
      </c>
    </row>
    <row r="17" spans="2:11" s="10" customFormat="1" ht="13.2" x14ac:dyDescent="0.25">
      <c r="B17" s="13" t="s">
        <v>76</v>
      </c>
      <c r="C17" s="13">
        <f>'EM Costs'!C25*'Who Pays'!$E$20/100</f>
        <v>0</v>
      </c>
      <c r="D17" s="13">
        <f>'EM Costs'!D25*'Who Pays'!$E$20/100</f>
        <v>0</v>
      </c>
      <c r="E17" s="13">
        <f>$D$17*'Who Pays'!$E$20/100</f>
        <v>0</v>
      </c>
      <c r="F17" s="13">
        <f>$D$17*'Who Pays'!$E$20/100</f>
        <v>0</v>
      </c>
      <c r="G17" s="13">
        <f>$D$17*'Who Pays'!$E$20/100</f>
        <v>0</v>
      </c>
      <c r="H17" s="13">
        <f>$D$17*'Who Pays'!$E$20/100</f>
        <v>0</v>
      </c>
      <c r="I17" s="13">
        <f>$D$17*'Who Pays'!$E$20/100</f>
        <v>0</v>
      </c>
      <c r="J17" s="13">
        <f t="shared" si="4"/>
        <v>0</v>
      </c>
      <c r="K17" s="13">
        <f t="shared" si="5"/>
        <v>0</v>
      </c>
    </row>
    <row r="18" spans="2:11" s="10" customFormat="1" ht="13.2" x14ac:dyDescent="0.25">
      <c r="B18" s="27" t="s">
        <v>78</v>
      </c>
    </row>
    <row r="19" spans="2:11" s="10" customFormat="1" ht="13.2" x14ac:dyDescent="0.25">
      <c r="B19" s="13" t="s">
        <v>136</v>
      </c>
      <c r="C19" s="13">
        <f>'EM Costs'!C27*'Who Pays'!$E$21/100</f>
        <v>0</v>
      </c>
      <c r="D19" s="13">
        <f>'EM Costs'!D27*'Who Pays'!$E$21/100</f>
        <v>0</v>
      </c>
      <c r="E19" s="13">
        <f>$D$19*'Who Pays'!$E$21/100</f>
        <v>0</v>
      </c>
      <c r="F19" s="13">
        <f>$D$19*'Who Pays'!$E$21/100</f>
        <v>0</v>
      </c>
      <c r="G19" s="13">
        <f>$D$19*'Who Pays'!$E$21/100</f>
        <v>0</v>
      </c>
      <c r="H19" s="13">
        <f>$D$19*'Who Pays'!$E$21/100</f>
        <v>0</v>
      </c>
      <c r="I19" s="13">
        <f>$D$19*'Who Pays'!$E$21/100</f>
        <v>0</v>
      </c>
      <c r="J19" s="13">
        <f>SUM(E19:I19)</f>
        <v>0</v>
      </c>
      <c r="K19" s="13">
        <f>E19+F19*(1+$C$2)+G19*((1+$C$2)^2)+H19*((1+$C$2)^3)+I19*((1+$C$2)^4)</f>
        <v>0</v>
      </c>
    </row>
    <row r="20" spans="2:11" s="10" customFormat="1" ht="13.2" x14ac:dyDescent="0.25">
      <c r="B20" s="27" t="s">
        <v>79</v>
      </c>
    </row>
    <row r="21" spans="2:11" s="10" customFormat="1" ht="13.2" x14ac:dyDescent="0.25">
      <c r="B21" s="13" t="s">
        <v>182</v>
      </c>
      <c r="C21" s="13">
        <f>'EM Costs'!C29*'Who Pays'!$E$22/100</f>
        <v>0</v>
      </c>
      <c r="D21" s="13">
        <f>'EM Costs'!D29*'Who Pays'!$E$22/100</f>
        <v>0</v>
      </c>
      <c r="E21" s="13">
        <f>$D$21*'Who Pays'!$E$22/100</f>
        <v>0</v>
      </c>
      <c r="F21" s="13">
        <f>$D$21*'Who Pays'!$E$22/100</f>
        <v>0</v>
      </c>
      <c r="G21" s="13">
        <f>$D$21*'Who Pays'!$E$22/100</f>
        <v>0</v>
      </c>
      <c r="H21" s="13">
        <f>$D$21*'Who Pays'!$E$22/100</f>
        <v>0</v>
      </c>
      <c r="I21" s="13">
        <f>$D$21*'Who Pays'!$E$22/100</f>
        <v>0</v>
      </c>
      <c r="J21" s="13">
        <f t="shared" ref="J21:J28" si="6">SUM(E21:I21)</f>
        <v>0</v>
      </c>
      <c r="K21" s="13">
        <f t="shared" ref="K21:K30" si="7">E21+F21*(1+$C$2)+G21*((1+$C$2)^2)+H21*((1+$C$2)^3)+I21*((1+$C$2)^4)</f>
        <v>0</v>
      </c>
    </row>
    <row r="22" spans="2:11" s="10" customFormat="1" ht="13.2" x14ac:dyDescent="0.25">
      <c r="B22" s="13" t="s">
        <v>180</v>
      </c>
      <c r="C22" s="13">
        <f>'EM Costs'!C30*'Who Pays'!$E$22/100</f>
        <v>0</v>
      </c>
      <c r="D22" s="13">
        <f>'EM Costs'!D30*'Who Pays'!$E$22/100</f>
        <v>0</v>
      </c>
      <c r="E22" s="13">
        <f>$D$22*'Who Pays'!$E$22/100</f>
        <v>0</v>
      </c>
      <c r="F22" s="13">
        <f>$D$22*'Who Pays'!$E$22/100</f>
        <v>0</v>
      </c>
      <c r="G22" s="13">
        <f>$D$22*'Who Pays'!$E$22/100</f>
        <v>0</v>
      </c>
      <c r="H22" s="13">
        <f>$D$22*'Who Pays'!$E$22/100</f>
        <v>0</v>
      </c>
      <c r="I22" s="13">
        <f>$D$22*'Who Pays'!$E$22/100</f>
        <v>0</v>
      </c>
      <c r="J22" s="13">
        <f t="shared" si="6"/>
        <v>0</v>
      </c>
      <c r="K22" s="13">
        <f t="shared" si="7"/>
        <v>0</v>
      </c>
    </row>
    <row r="23" spans="2:11" s="10" customFormat="1" ht="13.2" x14ac:dyDescent="0.25">
      <c r="B23" s="13" t="s">
        <v>181</v>
      </c>
      <c r="C23" s="13">
        <f>'EM Costs'!C31*'Who Pays'!$E$22/100</f>
        <v>0</v>
      </c>
      <c r="D23" s="13">
        <f>'EM Costs'!D31*'Who Pays'!$E$22/100</f>
        <v>0</v>
      </c>
      <c r="E23" s="13">
        <f>$D$23*'Who Pays'!$E$22/100</f>
        <v>0</v>
      </c>
      <c r="F23" s="13">
        <f>$D$23*'Who Pays'!$E$22/100</f>
        <v>0</v>
      </c>
      <c r="G23" s="13">
        <f>$D$23*'Who Pays'!$E$22/100</f>
        <v>0</v>
      </c>
      <c r="H23" s="13">
        <f>$D$23*'Who Pays'!$E$22/100</f>
        <v>0</v>
      </c>
      <c r="I23" s="13">
        <f>$D$23*'Who Pays'!$E$22/100</f>
        <v>0</v>
      </c>
      <c r="J23" s="13">
        <f t="shared" si="6"/>
        <v>0</v>
      </c>
      <c r="K23" s="13">
        <f t="shared" si="7"/>
        <v>0</v>
      </c>
    </row>
    <row r="24" spans="2:11" s="10" customFormat="1" ht="13.2" x14ac:dyDescent="0.25">
      <c r="B24" s="13" t="s">
        <v>80</v>
      </c>
      <c r="C24" s="13">
        <f>'EM Costs'!C32*'Who Pays'!$E$22/100</f>
        <v>0</v>
      </c>
      <c r="D24" s="13">
        <f>'EM Costs'!D32*'Who Pays'!$E$22/100</f>
        <v>0</v>
      </c>
      <c r="E24" s="13">
        <f>$D$24*'Who Pays'!$E$22/100</f>
        <v>0</v>
      </c>
      <c r="F24" s="13">
        <f>$D$24*'Who Pays'!$E$22/100</f>
        <v>0</v>
      </c>
      <c r="G24" s="13">
        <f>$D$24*'Who Pays'!$E$22/100</f>
        <v>0</v>
      </c>
      <c r="H24" s="13">
        <f>$D$24*'Who Pays'!$E$22/100</f>
        <v>0</v>
      </c>
      <c r="I24" s="13">
        <f>$D$24*'Who Pays'!$E$22/100</f>
        <v>0</v>
      </c>
      <c r="J24" s="13">
        <f t="shared" si="6"/>
        <v>0</v>
      </c>
      <c r="K24" s="13">
        <f t="shared" si="7"/>
        <v>0</v>
      </c>
    </row>
    <row r="25" spans="2:11" s="10" customFormat="1" ht="13.2" x14ac:dyDescent="0.25">
      <c r="B25" s="13" t="s">
        <v>81</v>
      </c>
      <c r="C25" s="13">
        <f>'EM Costs'!C33*'Who Pays'!$E$22/100</f>
        <v>0</v>
      </c>
      <c r="D25" s="13">
        <f>'EM Costs'!D33*'Who Pays'!$E$22/100</f>
        <v>0</v>
      </c>
      <c r="E25" s="13">
        <f>$D$25*'Who Pays'!$E$22/100</f>
        <v>0</v>
      </c>
      <c r="F25" s="13">
        <f>$D$25*'Who Pays'!$E$22/100</f>
        <v>0</v>
      </c>
      <c r="G25" s="13">
        <f>$D$25*'Who Pays'!$E$22/100</f>
        <v>0</v>
      </c>
      <c r="H25" s="13">
        <f>$D$25*'Who Pays'!$E$22/100</f>
        <v>0</v>
      </c>
      <c r="I25" s="13">
        <f>$D$25*'Who Pays'!$E$22/100</f>
        <v>0</v>
      </c>
      <c r="J25" s="13">
        <f t="shared" si="6"/>
        <v>0</v>
      </c>
      <c r="K25" s="13">
        <f t="shared" si="7"/>
        <v>0</v>
      </c>
    </row>
    <row r="26" spans="2:11" s="10" customFormat="1" ht="13.2" x14ac:dyDescent="0.25">
      <c r="B26" s="13" t="s">
        <v>82</v>
      </c>
      <c r="C26" s="13">
        <f>'EM Costs'!C34*'Who Pays'!$E$22/100</f>
        <v>0</v>
      </c>
      <c r="D26" s="13">
        <f>'EM Costs'!D34*'Who Pays'!$E$22/100</f>
        <v>0</v>
      </c>
      <c r="E26" s="13">
        <f>$D$26*'Who Pays'!$E$22/100</f>
        <v>0</v>
      </c>
      <c r="F26" s="13">
        <f>$D$26*'Who Pays'!$E$22/100</f>
        <v>0</v>
      </c>
      <c r="G26" s="13">
        <f>$D$26*'Who Pays'!$E$22/100</f>
        <v>0</v>
      </c>
      <c r="H26" s="13">
        <f>$D$26*'Who Pays'!$E$22/100</f>
        <v>0</v>
      </c>
      <c r="I26" s="13">
        <f>$D$26*'Who Pays'!$E$22/100</f>
        <v>0</v>
      </c>
      <c r="J26" s="13">
        <f t="shared" si="6"/>
        <v>0</v>
      </c>
      <c r="K26" s="13">
        <f t="shared" si="7"/>
        <v>0</v>
      </c>
    </row>
    <row r="27" spans="2:11" s="10" customFormat="1" ht="13.2" x14ac:dyDescent="0.25">
      <c r="B27" s="13" t="s">
        <v>83</v>
      </c>
      <c r="C27" s="13">
        <f>'EM Costs'!C35*'Who Pays'!$E$22/100</f>
        <v>0</v>
      </c>
      <c r="D27" s="13">
        <f>'EM Costs'!D35*'Who Pays'!$E$22/100</f>
        <v>0</v>
      </c>
      <c r="E27" s="13">
        <f>$D$27*'Who Pays'!$E$22/100</f>
        <v>0</v>
      </c>
      <c r="F27" s="13">
        <f>$D$27*'Who Pays'!$E$22/100</f>
        <v>0</v>
      </c>
      <c r="G27" s="13">
        <f>$D$27*'Who Pays'!$E$22/100</f>
        <v>0</v>
      </c>
      <c r="H27" s="13">
        <f>$D$27*'Who Pays'!$E$22/100</f>
        <v>0</v>
      </c>
      <c r="I27" s="13">
        <f>$D$27*'Who Pays'!$E$22/100</f>
        <v>0</v>
      </c>
      <c r="J27" s="13">
        <f>SUM(E27:I27)</f>
        <v>0</v>
      </c>
      <c r="K27" s="13">
        <f t="shared" si="7"/>
        <v>0</v>
      </c>
    </row>
    <row r="28" spans="2:11" s="10" customFormat="1" ht="13.2" x14ac:dyDescent="0.25">
      <c r="B28" s="13" t="s">
        <v>84</v>
      </c>
      <c r="C28" s="13">
        <f>'EM Costs'!C36*'Who Pays'!$E$22/100</f>
        <v>0</v>
      </c>
      <c r="D28" s="13">
        <f>'EM Costs'!D36*'Who Pays'!$E$22/100</f>
        <v>0</v>
      </c>
      <c r="E28" s="13">
        <f>$D$28*'Who Pays'!$E$22/100</f>
        <v>0</v>
      </c>
      <c r="F28" s="13">
        <f>$D$28*'Who Pays'!$E$22/100</f>
        <v>0</v>
      </c>
      <c r="G28" s="13">
        <f>$D$28*'Who Pays'!$E$22/100</f>
        <v>0</v>
      </c>
      <c r="H28" s="13">
        <f>$D$28*'Who Pays'!$E$22/100</f>
        <v>0</v>
      </c>
      <c r="I28" s="13">
        <f>$D$28*'Who Pays'!$E$22/100</f>
        <v>0</v>
      </c>
      <c r="J28" s="13">
        <f t="shared" si="6"/>
        <v>0</v>
      </c>
      <c r="K28" s="13">
        <f t="shared" si="7"/>
        <v>0</v>
      </c>
    </row>
    <row r="29" spans="2:11" s="10" customFormat="1" ht="13.2" x14ac:dyDescent="0.25">
      <c r="B29" s="27" t="s">
        <v>85</v>
      </c>
      <c r="K29" s="10">
        <f t="shared" si="7"/>
        <v>0</v>
      </c>
    </row>
    <row r="30" spans="2:11" s="10" customFormat="1" ht="13.2" x14ac:dyDescent="0.25">
      <c r="B30" s="13" t="s">
        <v>192</v>
      </c>
      <c r="C30" s="13">
        <f>'EM Costs'!C38*'Who Pays'!$E$23/100</f>
        <v>0</v>
      </c>
      <c r="D30" s="13">
        <f>'EM Costs'!D38*'Who Pays'!$E$23/100</f>
        <v>0</v>
      </c>
      <c r="E30" s="13">
        <f>$D$30*'Who Pays'!$E$23/100</f>
        <v>0</v>
      </c>
      <c r="F30" s="13">
        <f>$D$30*'Who Pays'!$E$23/100</f>
        <v>0</v>
      </c>
      <c r="G30" s="13">
        <f>$D$30*'Who Pays'!$E$23/100</f>
        <v>0</v>
      </c>
      <c r="H30" s="13">
        <f>$D$30*'Who Pays'!$E$23/100</f>
        <v>0</v>
      </c>
      <c r="I30" s="13">
        <f>$D$30*'Who Pays'!$E$23/100</f>
        <v>0</v>
      </c>
      <c r="J30" s="13">
        <f>SUM(E30:I30)</f>
        <v>0</v>
      </c>
      <c r="K30" s="13">
        <f t="shared" si="7"/>
        <v>0</v>
      </c>
    </row>
    <row r="31" spans="2:11" s="10" customFormat="1" ht="13.2" x14ac:dyDescent="0.25">
      <c r="I31" s="34" t="s">
        <v>178</v>
      </c>
      <c r="J31" s="33">
        <f>SUM(J5:J30)</f>
        <v>0</v>
      </c>
      <c r="K31" s="33">
        <f>SUM(K5:K30)</f>
        <v>0</v>
      </c>
    </row>
    <row r="32" spans="2:11" s="10" customFormat="1" ht="13.2" x14ac:dyDescent="0.25"/>
    <row r="33" spans="2:11" s="10" customFormat="1" ht="13.2" x14ac:dyDescent="0.25"/>
    <row r="34" spans="2:11" s="10" customFormat="1" ht="13.2" x14ac:dyDescent="0.25">
      <c r="B34" s="35" t="s">
        <v>194</v>
      </c>
      <c r="C34" s="35" t="str">
        <f>'ASO Costs'!C9</f>
        <v>Total Annual Cost</v>
      </c>
      <c r="D34" s="35" t="str">
        <f>'ASO Costs'!D9</f>
        <v>Cost per Vessel</v>
      </c>
      <c r="E34" s="35" t="s">
        <v>104</v>
      </c>
      <c r="F34" s="35" t="s">
        <v>105</v>
      </c>
      <c r="G34" s="35" t="s">
        <v>106</v>
      </c>
      <c r="H34" s="35" t="s">
        <v>107</v>
      </c>
      <c r="I34" s="35" t="s">
        <v>108</v>
      </c>
      <c r="J34" s="35" t="s">
        <v>219</v>
      </c>
      <c r="K34" s="35" t="s">
        <v>109</v>
      </c>
    </row>
    <row r="35" spans="2:11" s="10" customFormat="1" ht="13.2" x14ac:dyDescent="0.25">
      <c r="B35" s="27" t="s">
        <v>69</v>
      </c>
    </row>
    <row r="36" spans="2:11" s="10" customFormat="1" ht="13.2" x14ac:dyDescent="0.25">
      <c r="B36" s="13" t="s">
        <v>130</v>
      </c>
      <c r="C36" s="13">
        <f>'ASO Costs'!C11*'Who Pays'!$E$5/100</f>
        <v>0</v>
      </c>
      <c r="D36" s="13">
        <f>'ASO Costs'!D11*'Who Pays'!$E$5/100</f>
        <v>0</v>
      </c>
      <c r="E36" s="13">
        <f>$D$36*'Who Pays'!$E$5/100</f>
        <v>0</v>
      </c>
      <c r="F36" s="13">
        <f>$D$36*'Who Pays'!$E$5/100</f>
        <v>0</v>
      </c>
      <c r="G36" s="13">
        <f>$D$36*'Who Pays'!$E$5/100</f>
        <v>0</v>
      </c>
      <c r="H36" s="13">
        <f>$D$36*'Who Pays'!$E$5/100</f>
        <v>0</v>
      </c>
      <c r="I36" s="13">
        <f>$D$36*'Who Pays'!$E$5/100</f>
        <v>0</v>
      </c>
      <c r="J36" s="13">
        <f>SUM(E36:I36)</f>
        <v>0</v>
      </c>
      <c r="K36" s="13">
        <f t="shared" ref="K36" si="8">E36+F36*(1+$C$2)+G36*((1+$C$2)^2)+H36*((1+$C$2)^3)+I36*((1+$C$2)^4)</f>
        <v>0</v>
      </c>
    </row>
    <row r="37" spans="2:11" s="10" customFormat="1" ht="13.2" x14ac:dyDescent="0.25">
      <c r="B37" s="27" t="s">
        <v>88</v>
      </c>
    </row>
    <row r="38" spans="2:11" s="10" customFormat="1" ht="13.2" x14ac:dyDescent="0.25">
      <c r="B38" s="13" t="s">
        <v>89</v>
      </c>
      <c r="C38" s="13">
        <f>'ASO Costs'!C13*'Who Pays'!$E$6/100</f>
        <v>0</v>
      </c>
      <c r="D38" s="13">
        <f>'ASO Costs'!D13*'Who Pays'!$E$6/100</f>
        <v>0</v>
      </c>
      <c r="E38" s="13">
        <f>$D$38*'Who Pays'!$E$6/100</f>
        <v>0</v>
      </c>
      <c r="F38" s="13">
        <f>$D$38*'Who Pays'!$E$6/100</f>
        <v>0</v>
      </c>
      <c r="G38" s="13">
        <f>$D$38*'Who Pays'!$E$6/100</f>
        <v>0</v>
      </c>
      <c r="H38" s="13">
        <f>$D$38*'Who Pays'!$E$6/100</f>
        <v>0</v>
      </c>
      <c r="I38" s="13">
        <f>$D$38*'Who Pays'!$E$6/100</f>
        <v>0</v>
      </c>
      <c r="J38" s="13">
        <f t="shared" ref="J38:J39" si="9">SUM(E38:I38)</f>
        <v>0</v>
      </c>
      <c r="K38" s="13">
        <f t="shared" ref="K38:K39" si="10">E38+F38*(1+$C$2)+G38*((1+$C$2)^2)+H38*((1+$C$2)^3)+I38*((1+$C$2)^4)</f>
        <v>0</v>
      </c>
    </row>
    <row r="39" spans="2:11" s="10" customFormat="1" ht="13.2" x14ac:dyDescent="0.25">
      <c r="B39" s="13" t="s">
        <v>90</v>
      </c>
      <c r="C39" s="13">
        <f>'ASO Costs'!C14*'Who Pays'!$E$7/100</f>
        <v>0</v>
      </c>
      <c r="D39" s="13">
        <f>'ASO Costs'!D14*'Who Pays'!$E$7/100</f>
        <v>0</v>
      </c>
      <c r="E39" s="13">
        <f>$D$39*'Who Pays'!$E$7/100</f>
        <v>0</v>
      </c>
      <c r="F39" s="13">
        <f>$D$39*'Who Pays'!$E$7/100</f>
        <v>0</v>
      </c>
      <c r="G39" s="13">
        <f>$D$39*'Who Pays'!$E$7/100</f>
        <v>0</v>
      </c>
      <c r="H39" s="13">
        <f>$D$39*'Who Pays'!$E$7/100</f>
        <v>0</v>
      </c>
      <c r="I39" s="13">
        <f>$D$39*'Who Pays'!$E$7/100</f>
        <v>0</v>
      </c>
      <c r="J39" s="13">
        <f t="shared" si="9"/>
        <v>0</v>
      </c>
      <c r="K39" s="13">
        <f t="shared" si="10"/>
        <v>0</v>
      </c>
    </row>
    <row r="40" spans="2:11" s="10" customFormat="1" ht="13.2" x14ac:dyDescent="0.25">
      <c r="B40" s="27" t="s">
        <v>91</v>
      </c>
    </row>
    <row r="41" spans="2:11" s="10" customFormat="1" ht="13.2" x14ac:dyDescent="0.25">
      <c r="B41" s="13" t="s">
        <v>92</v>
      </c>
      <c r="C41" s="13">
        <f>'ASO Costs'!C16*'Who Pays'!$E$8/100</f>
        <v>0</v>
      </c>
      <c r="D41" s="13">
        <f>'ASO Costs'!D16*'Who Pays'!$E$8/100</f>
        <v>0</v>
      </c>
      <c r="E41" s="13">
        <f>$D$41*'Who Pays'!$E$8/100</f>
        <v>0</v>
      </c>
      <c r="F41" s="13">
        <f>$D$41*'Who Pays'!$E$8/100</f>
        <v>0</v>
      </c>
      <c r="G41" s="13">
        <f>$D$41*'Who Pays'!$E$8/100</f>
        <v>0</v>
      </c>
      <c r="H41" s="13">
        <f>$D$41*'Who Pays'!$E$8/100</f>
        <v>0</v>
      </c>
      <c r="I41" s="13">
        <f>$D$41*'Who Pays'!$E$8/100</f>
        <v>0</v>
      </c>
      <c r="J41" s="13">
        <f>SUM(E41:I41)</f>
        <v>0</v>
      </c>
      <c r="K41" s="13">
        <f t="shared" ref="K41" si="11">E41+F41*(1+$C$2)+G41*((1+$C$2)^2)+H41*((1+$C$2)^3)+I41*((1+$C$2)^4)</f>
        <v>0</v>
      </c>
    </row>
    <row r="42" spans="2:11" s="10" customFormat="1" ht="13.2" x14ac:dyDescent="0.25">
      <c r="B42" s="27" t="s">
        <v>93</v>
      </c>
    </row>
    <row r="43" spans="2:11" s="10" customFormat="1" ht="13.2" x14ac:dyDescent="0.25">
      <c r="B43" s="13" t="s">
        <v>94</v>
      </c>
      <c r="C43" s="13">
        <f>'ASO Costs'!C18*'Who Pays'!$E$9/100</f>
        <v>0</v>
      </c>
      <c r="D43" s="13">
        <f>'ASO Costs'!D18*'Who Pays'!$E$9/100</f>
        <v>0</v>
      </c>
      <c r="E43" s="13">
        <f>$D$43*'Who Pays'!$E$9/100</f>
        <v>0</v>
      </c>
      <c r="F43" s="13">
        <f>$D$43*'Who Pays'!$E$9/100</f>
        <v>0</v>
      </c>
      <c r="G43" s="13">
        <f>$D$43*'Who Pays'!$E$9/100</f>
        <v>0</v>
      </c>
      <c r="H43" s="13">
        <f>$D$43*'Who Pays'!$E$9/100</f>
        <v>0</v>
      </c>
      <c r="I43" s="13">
        <f>$D$43*'Who Pays'!$E$9/100</f>
        <v>0</v>
      </c>
      <c r="J43" s="13">
        <f>SUM(E43:I43)</f>
        <v>0</v>
      </c>
      <c r="K43" s="13">
        <f t="shared" ref="K43" si="12">E43+F43*(1+$C$2)+G43*((1+$C$2)^2)+H43*((1+$C$2)^3)+I43*((1+$C$2)^4)</f>
        <v>0</v>
      </c>
    </row>
    <row r="44" spans="2:11" s="10" customFormat="1" ht="13.2" x14ac:dyDescent="0.25">
      <c r="B44" s="27" t="s">
        <v>95</v>
      </c>
    </row>
    <row r="45" spans="2:11" s="10" customFormat="1" ht="13.2" x14ac:dyDescent="0.25">
      <c r="B45" s="13" t="s">
        <v>96</v>
      </c>
      <c r="C45" s="13">
        <f>'ASO Costs'!C20*'Who Pays'!$E$10/100</f>
        <v>0</v>
      </c>
      <c r="D45" s="13">
        <f>'ASO Costs'!D20*'Who Pays'!$E$10/100</f>
        <v>0</v>
      </c>
      <c r="E45" s="13">
        <f>$D$45*'Who Pays'!$E$10/100</f>
        <v>0</v>
      </c>
      <c r="F45" s="13">
        <f>$D$45*'Who Pays'!$E$10/100</f>
        <v>0</v>
      </c>
      <c r="G45" s="13">
        <f>$D$45*'Who Pays'!$E$10/100</f>
        <v>0</v>
      </c>
      <c r="H45" s="13">
        <f>$D$45*'Who Pays'!$E$10/100</f>
        <v>0</v>
      </c>
      <c r="I45" s="13">
        <f>$D$45*'Who Pays'!$E$10/100</f>
        <v>0</v>
      </c>
      <c r="J45" s="13">
        <f>SUM(E45:I45)</f>
        <v>0</v>
      </c>
      <c r="K45" s="13">
        <f t="shared" ref="K45" si="13">E45+F45*(1+$C$2)+G45*((1+$C$2)^2)+H45*((1+$C$2)^3)+I45*((1+$C$2)^4)</f>
        <v>0</v>
      </c>
    </row>
    <row r="46" spans="2:11" s="10" customFormat="1" ht="13.2" x14ac:dyDescent="0.25">
      <c r="B46" s="27" t="s">
        <v>97</v>
      </c>
    </row>
    <row r="47" spans="2:11" s="10" customFormat="1" ht="13.2" x14ac:dyDescent="0.25">
      <c r="B47" s="13" t="s">
        <v>127</v>
      </c>
      <c r="C47" s="13">
        <f>'ASO Costs'!C22*'Who Pays'!$E$11/100</f>
        <v>0</v>
      </c>
      <c r="D47" s="13">
        <f>'ASO Costs'!D22*'Who Pays'!$E$11/100</f>
        <v>0</v>
      </c>
      <c r="E47" s="13">
        <f>$D$47*'Who Pays'!$E$11/100</f>
        <v>0</v>
      </c>
      <c r="F47" s="13">
        <f>$D$47*'Who Pays'!$E$11/100</f>
        <v>0</v>
      </c>
      <c r="G47" s="13">
        <f>$D$47*'Who Pays'!$E$11/100</f>
        <v>0</v>
      </c>
      <c r="H47" s="13">
        <f>$D$47*'Who Pays'!$E$11/100</f>
        <v>0</v>
      </c>
      <c r="I47" s="13">
        <f>$D$47*'Who Pays'!$E$11/100</f>
        <v>0</v>
      </c>
      <c r="J47" s="13">
        <f>SUM(E47:I47)</f>
        <v>0</v>
      </c>
      <c r="K47" s="13">
        <f t="shared" ref="K47" si="14">E47+F47*(1+$C$2)+G47*((1+$C$2)^2)+H47*((1+$C$2)^3)+I47*((1+$C$2)^4)</f>
        <v>0</v>
      </c>
    </row>
    <row r="48" spans="2:11" s="10" customFormat="1" ht="13.2" x14ac:dyDescent="0.25">
      <c r="B48" s="27" t="s">
        <v>98</v>
      </c>
    </row>
    <row r="49" spans="2:11" s="10" customFormat="1" ht="13.2" x14ac:dyDescent="0.25">
      <c r="B49" s="13" t="s">
        <v>99</v>
      </c>
      <c r="C49" s="13">
        <f>'ASO Costs'!C24*'Who Pays'!$E$12/100</f>
        <v>0</v>
      </c>
      <c r="D49" s="13">
        <f>'ASO Costs'!D24*'Who Pays'!$E$12/100</f>
        <v>0</v>
      </c>
      <c r="E49" s="13">
        <f>$D$49*'Who Pays'!$E$12/100</f>
        <v>0</v>
      </c>
      <c r="F49" s="13">
        <f>$D$49*'Who Pays'!$E$12/100</f>
        <v>0</v>
      </c>
      <c r="G49" s="13">
        <f>$D$49*'Who Pays'!$E$12/100</f>
        <v>0</v>
      </c>
      <c r="H49" s="13">
        <f>$D$49*'Who Pays'!$E$12/100</f>
        <v>0</v>
      </c>
      <c r="I49" s="13">
        <f>$D$49*'Who Pays'!$E$12/100</f>
        <v>0</v>
      </c>
      <c r="J49" s="13">
        <f>SUM(E49:I49)</f>
        <v>0</v>
      </c>
      <c r="K49" s="13">
        <f t="shared" ref="K49" si="15">E49+F49*(1+$C$2)+G49*((1+$C$2)^2)+H49*((1+$C$2)^3)+I49*((1+$C$2)^4)</f>
        <v>0</v>
      </c>
    </row>
    <row r="50" spans="2:11" s="10" customFormat="1" ht="13.2" x14ac:dyDescent="0.25">
      <c r="I50" s="34" t="s">
        <v>178</v>
      </c>
      <c r="J50" s="33">
        <f>SUM(J36:J49)</f>
        <v>0</v>
      </c>
      <c r="K50" s="33">
        <f>SUM(K36:K49)</f>
        <v>0</v>
      </c>
    </row>
    <row r="51" spans="2:11" s="10" customFormat="1" ht="13.2" x14ac:dyDescent="0.25"/>
    <row r="52" spans="2:11" s="10" customFormat="1" ht="13.2" x14ac:dyDescent="0.25"/>
    <row r="53" spans="2:11" s="10" customFormat="1" ht="13.2" x14ac:dyDescent="0.25"/>
    <row r="54" spans="2:11" s="10" customFormat="1" ht="13.2" x14ac:dyDescent="0.25"/>
    <row r="55" spans="2:11" s="10" customFormat="1" ht="13.2" x14ac:dyDescent="0.25"/>
    <row r="56" spans="2:11" s="10" customFormat="1" ht="13.2" x14ac:dyDescent="0.25"/>
    <row r="57" spans="2:11" s="10" customFormat="1" ht="13.2" x14ac:dyDescent="0.25"/>
    <row r="58" spans="2:11" s="10" customFormat="1" ht="13.2" x14ac:dyDescent="0.25"/>
    <row r="59" spans="2:11" s="10" customFormat="1" ht="13.2" x14ac:dyDescent="0.25"/>
    <row r="60" spans="2:11" s="10" customFormat="1" ht="13.2" x14ac:dyDescent="0.25"/>
    <row r="61" spans="2:11" s="10" customFormat="1" ht="13.2" x14ac:dyDescent="0.25"/>
    <row r="62" spans="2:11" s="10" customFormat="1" ht="13.2" x14ac:dyDescent="0.25"/>
    <row r="63" spans="2:11" s="10" customFormat="1" ht="13.2"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3"/>
  <sheetViews>
    <sheetView topLeftCell="C10" workbookViewId="0">
      <selection activeCell="K25" sqref="K25"/>
    </sheetView>
  </sheetViews>
  <sheetFormatPr defaultColWidth="9.109375" defaultRowHeight="13.8" x14ac:dyDescent="0.25"/>
  <cols>
    <col min="1" max="1" width="5.6640625" style="2" customWidth="1"/>
    <col min="2" max="2" width="55.6640625" style="2" bestFit="1" customWidth="1"/>
    <col min="3" max="3" width="17.6640625" style="2" bestFit="1" customWidth="1"/>
    <col min="4" max="4" width="16" style="2" bestFit="1" customWidth="1"/>
    <col min="5" max="5" width="9.109375" style="2"/>
    <col min="6" max="6" width="11.33203125" style="2" bestFit="1" customWidth="1"/>
    <col min="7" max="7" width="13.33203125" style="2" bestFit="1" customWidth="1"/>
    <col min="8" max="8" width="12" style="2" bestFit="1" customWidth="1"/>
    <col min="9" max="9" width="9.109375" style="2"/>
    <col min="10" max="10" width="16.33203125" style="2" bestFit="1" customWidth="1"/>
    <col min="11" max="11" width="13.33203125" style="2" bestFit="1" customWidth="1"/>
    <col min="12" max="16384" width="9.109375" style="2"/>
  </cols>
  <sheetData>
    <row r="1" spans="2:11" s="1" customFormat="1" ht="24.9" customHeight="1" x14ac:dyDescent="0.4">
      <c r="B1" s="36" t="s">
        <v>220</v>
      </c>
    </row>
    <row r="2" spans="2:11" s="10" customFormat="1" ht="13.2" x14ac:dyDescent="0.25">
      <c r="B2" s="40" t="s">
        <v>195</v>
      </c>
      <c r="C2" s="43">
        <v>0.05</v>
      </c>
    </row>
    <row r="3" spans="2:11" s="10" customFormat="1" ht="13.2" x14ac:dyDescent="0.25">
      <c r="B3" s="35" t="s">
        <v>193</v>
      </c>
      <c r="C3" s="35" t="s">
        <v>218</v>
      </c>
      <c r="D3" s="35" t="s">
        <v>153</v>
      </c>
      <c r="E3" s="35" t="s">
        <v>104</v>
      </c>
      <c r="F3" s="35" t="s">
        <v>105</v>
      </c>
      <c r="G3" s="35" t="s">
        <v>106</v>
      </c>
      <c r="H3" s="35" t="s">
        <v>107</v>
      </c>
      <c r="I3" s="35" t="s">
        <v>108</v>
      </c>
      <c r="J3" s="35" t="s">
        <v>219</v>
      </c>
      <c r="K3" s="35" t="s">
        <v>109</v>
      </c>
    </row>
    <row r="4" spans="2:11" s="10" customFormat="1" ht="13.2" x14ac:dyDescent="0.25">
      <c r="B4" s="27" t="s">
        <v>69</v>
      </c>
    </row>
    <row r="5" spans="2:11" s="10" customFormat="1" ht="13.2" x14ac:dyDescent="0.25">
      <c r="B5" s="13" t="s">
        <v>137</v>
      </c>
      <c r="C5" s="13">
        <f>'EM Costs'!C13</f>
        <v>318750</v>
      </c>
      <c r="D5" s="13">
        <f>'EM Costs'!D13</f>
        <v>2125</v>
      </c>
      <c r="E5" s="13">
        <f>$D$5</f>
        <v>2125</v>
      </c>
      <c r="F5" s="13">
        <f>$D$5</f>
        <v>2125</v>
      </c>
      <c r="G5" s="13">
        <f>$D$5</f>
        <v>2125</v>
      </c>
      <c r="H5" s="13">
        <f>$D$5</f>
        <v>2125</v>
      </c>
      <c r="I5" s="13">
        <f>$D$5</f>
        <v>2125</v>
      </c>
      <c r="J5" s="13">
        <f>SUM(E5:I5)</f>
        <v>10625</v>
      </c>
      <c r="K5" s="13">
        <f>E5+F5*(1+$C$2)+G5*((1+$C$2)^2)+H5*((1+$C$2)^3)+I5*((1+$C$2)^4)</f>
        <v>11741.96640625</v>
      </c>
    </row>
    <row r="6" spans="2:11" s="10" customFormat="1" ht="13.2" x14ac:dyDescent="0.25">
      <c r="B6" s="27" t="s">
        <v>71</v>
      </c>
    </row>
    <row r="7" spans="2:11" s="10" customFormat="1" ht="13.2" x14ac:dyDescent="0.25">
      <c r="B7" s="13" t="s">
        <v>146</v>
      </c>
      <c r="C7" s="13">
        <f>'EM Costs'!C15</f>
        <v>1080000</v>
      </c>
      <c r="D7" s="13">
        <f>'EM Costs'!D15</f>
        <v>7200</v>
      </c>
      <c r="E7" s="13">
        <f>D7</f>
        <v>7200</v>
      </c>
      <c r="F7" s="13">
        <v>0</v>
      </c>
      <c r="G7" s="13">
        <v>0</v>
      </c>
      <c r="H7" s="13">
        <v>0</v>
      </c>
      <c r="I7" s="13">
        <v>0</v>
      </c>
      <c r="J7" s="13">
        <f t="shared" ref="J7:J9" si="0">SUM(E7:I7)</f>
        <v>7200</v>
      </c>
      <c r="K7" s="13">
        <f t="shared" ref="K7:K9" si="1">E7+F7*(1+$C$2)+G7*((1+$C$2)^2)+H7*((1+$C$2)^3)+I7*((1+$C$2)^4)</f>
        <v>7200</v>
      </c>
    </row>
    <row r="8" spans="2:11" s="10" customFormat="1" ht="13.2" x14ac:dyDescent="0.25">
      <c r="B8" s="13" t="s">
        <v>72</v>
      </c>
      <c r="C8" s="13">
        <f>'EM Costs'!C16</f>
        <v>60000</v>
      </c>
      <c r="D8" s="13">
        <f>'EM Costs'!D16</f>
        <v>400</v>
      </c>
      <c r="E8" s="13">
        <f>D8</f>
        <v>400</v>
      </c>
      <c r="F8" s="13">
        <v>0</v>
      </c>
      <c r="G8" s="13">
        <v>0</v>
      </c>
      <c r="H8" s="13">
        <v>0</v>
      </c>
      <c r="I8" s="13">
        <v>0</v>
      </c>
      <c r="J8" s="13">
        <f t="shared" si="0"/>
        <v>400</v>
      </c>
      <c r="K8" s="13">
        <f t="shared" si="1"/>
        <v>400</v>
      </c>
    </row>
    <row r="9" spans="2:11" s="10" customFormat="1" ht="13.2" x14ac:dyDescent="0.25">
      <c r="B9" s="13" t="s">
        <v>73</v>
      </c>
      <c r="C9" s="13">
        <f>'EM Costs'!C17</f>
        <v>124950</v>
      </c>
      <c r="D9" s="13">
        <f>'EM Costs'!D17</f>
        <v>833</v>
      </c>
      <c r="E9" s="13">
        <f>D9</f>
        <v>833</v>
      </c>
      <c r="F9" s="13">
        <v>0</v>
      </c>
      <c r="G9" s="13">
        <v>0</v>
      </c>
      <c r="H9" s="13">
        <v>0</v>
      </c>
      <c r="I9" s="13">
        <v>0</v>
      </c>
      <c r="J9" s="13">
        <f t="shared" si="0"/>
        <v>833</v>
      </c>
      <c r="K9" s="13">
        <f t="shared" si="1"/>
        <v>833</v>
      </c>
    </row>
    <row r="10" spans="2:11" s="10" customFormat="1" ht="13.2" x14ac:dyDescent="0.25">
      <c r="B10" s="27" t="s">
        <v>74</v>
      </c>
    </row>
    <row r="11" spans="2:11" s="10" customFormat="1" ht="13.2" x14ac:dyDescent="0.25">
      <c r="B11" s="13" t="s">
        <v>70</v>
      </c>
      <c r="C11" s="13">
        <f>'EM Costs'!C19</f>
        <v>150000</v>
      </c>
      <c r="D11" s="13">
        <f>'EM Costs'!D19</f>
        <v>1000</v>
      </c>
      <c r="E11" s="13">
        <f>D11</f>
        <v>1000</v>
      </c>
      <c r="F11" s="13">
        <v>0</v>
      </c>
      <c r="G11" s="13">
        <v>0</v>
      </c>
      <c r="H11" s="13">
        <v>0</v>
      </c>
      <c r="I11" s="13">
        <v>0</v>
      </c>
      <c r="J11" s="13">
        <f t="shared" ref="J11:J13" si="2">SUM(E11:I11)</f>
        <v>1000</v>
      </c>
      <c r="K11" s="13">
        <f t="shared" ref="K11:K13" si="3">E11+F11*(1+$C$2)+G11*((1+$C$2)^2)+H11*((1+$C$2)^3)+I11*((1+$C$2)^4)</f>
        <v>1000</v>
      </c>
    </row>
    <row r="12" spans="2:11" s="10" customFormat="1" ht="13.2" x14ac:dyDescent="0.25">
      <c r="B12" s="13" t="s">
        <v>75</v>
      </c>
      <c r="C12" s="13">
        <f>'EM Costs'!C20</f>
        <v>75000</v>
      </c>
      <c r="D12" s="13">
        <f>'EM Costs'!D20</f>
        <v>250</v>
      </c>
      <c r="E12" s="13">
        <f>D12</f>
        <v>250</v>
      </c>
      <c r="F12" s="13">
        <v>0</v>
      </c>
      <c r="G12" s="13">
        <v>0</v>
      </c>
      <c r="H12" s="13">
        <v>0</v>
      </c>
      <c r="I12" s="13">
        <v>0</v>
      </c>
      <c r="J12" s="13">
        <f t="shared" si="2"/>
        <v>250</v>
      </c>
      <c r="K12" s="13">
        <f t="shared" si="3"/>
        <v>250</v>
      </c>
    </row>
    <row r="13" spans="2:11" s="10" customFormat="1" ht="13.2" x14ac:dyDescent="0.25">
      <c r="B13" s="13" t="s">
        <v>76</v>
      </c>
      <c r="C13" s="13">
        <f>'EM Costs'!C21</f>
        <v>37500</v>
      </c>
      <c r="D13" s="13">
        <f>'EM Costs'!D21</f>
        <v>250</v>
      </c>
      <c r="E13" s="13">
        <f>D13</f>
        <v>250</v>
      </c>
      <c r="F13" s="13">
        <v>0</v>
      </c>
      <c r="G13" s="13">
        <v>0</v>
      </c>
      <c r="H13" s="13">
        <v>0</v>
      </c>
      <c r="I13" s="13">
        <v>0</v>
      </c>
      <c r="J13" s="13">
        <f t="shared" si="2"/>
        <v>250</v>
      </c>
      <c r="K13" s="13">
        <f t="shared" si="3"/>
        <v>250</v>
      </c>
    </row>
    <row r="14" spans="2:11" s="10" customFormat="1" ht="13.2" x14ac:dyDescent="0.25">
      <c r="B14" s="27" t="s">
        <v>77</v>
      </c>
    </row>
    <row r="15" spans="2:11" s="10" customFormat="1" ht="13.2" x14ac:dyDescent="0.25">
      <c r="B15" s="13" t="s">
        <v>70</v>
      </c>
      <c r="C15" s="13">
        <f>'EM Costs'!C23</f>
        <v>12000</v>
      </c>
      <c r="D15" s="13">
        <f>'EM Costs'!D23</f>
        <v>80</v>
      </c>
      <c r="E15" s="13">
        <f>$D$15</f>
        <v>80</v>
      </c>
      <c r="F15" s="13">
        <f>$D$15</f>
        <v>80</v>
      </c>
      <c r="G15" s="13">
        <f>$D$15</f>
        <v>80</v>
      </c>
      <c r="H15" s="13">
        <f>$D$15</f>
        <v>80</v>
      </c>
      <c r="I15" s="13">
        <f>$D$15</f>
        <v>80</v>
      </c>
      <c r="J15" s="13">
        <f t="shared" ref="J15:J17" si="4">SUM(E15:I15)</f>
        <v>400</v>
      </c>
      <c r="K15" s="13">
        <f t="shared" ref="K15:K17" si="5">E15+F15*(1+$C$2)+G15*((1+$C$2)^2)+H15*((1+$C$2)^3)+I15*((1+$C$2)^4)</f>
        <v>442.0505</v>
      </c>
    </row>
    <row r="16" spans="2:11" s="10" customFormat="1" ht="13.2" x14ac:dyDescent="0.25">
      <c r="B16" s="13" t="s">
        <v>75</v>
      </c>
      <c r="C16" s="13">
        <f>'EM Costs'!C24</f>
        <v>15000</v>
      </c>
      <c r="D16" s="13">
        <f>'EM Costs'!D24</f>
        <v>100</v>
      </c>
      <c r="E16" s="13">
        <f>$D$16</f>
        <v>100</v>
      </c>
      <c r="F16" s="13">
        <f t="shared" ref="F16:I16" si="6">$D$16</f>
        <v>100</v>
      </c>
      <c r="G16" s="13">
        <f t="shared" si="6"/>
        <v>100</v>
      </c>
      <c r="H16" s="13">
        <f t="shared" si="6"/>
        <v>100</v>
      </c>
      <c r="I16" s="13">
        <f t="shared" si="6"/>
        <v>100</v>
      </c>
      <c r="J16" s="13">
        <f t="shared" si="4"/>
        <v>500</v>
      </c>
      <c r="K16" s="13">
        <f t="shared" si="5"/>
        <v>552.56312500000001</v>
      </c>
    </row>
    <row r="17" spans="2:11" s="10" customFormat="1" ht="13.2" x14ac:dyDescent="0.25">
      <c r="B17" s="13" t="s">
        <v>76</v>
      </c>
      <c r="C17" s="13">
        <f>'EM Costs'!C25</f>
        <v>7500</v>
      </c>
      <c r="D17" s="13">
        <f>'EM Costs'!D25</f>
        <v>50</v>
      </c>
      <c r="E17" s="13">
        <f>$D$17</f>
        <v>50</v>
      </c>
      <c r="F17" s="13">
        <f t="shared" ref="F17:I17" si="7">$D$17</f>
        <v>50</v>
      </c>
      <c r="G17" s="13">
        <f t="shared" si="7"/>
        <v>50</v>
      </c>
      <c r="H17" s="13">
        <f t="shared" si="7"/>
        <v>50</v>
      </c>
      <c r="I17" s="13">
        <f t="shared" si="7"/>
        <v>50</v>
      </c>
      <c r="J17" s="13">
        <f t="shared" si="4"/>
        <v>250</v>
      </c>
      <c r="K17" s="13">
        <f t="shared" si="5"/>
        <v>276.28156250000001</v>
      </c>
    </row>
    <row r="18" spans="2:11" s="10" customFormat="1" ht="13.2" x14ac:dyDescent="0.25">
      <c r="B18" s="27" t="s">
        <v>78</v>
      </c>
    </row>
    <row r="19" spans="2:11" s="10" customFormat="1" ht="13.2" x14ac:dyDescent="0.25">
      <c r="B19" s="13" t="s">
        <v>136</v>
      </c>
      <c r="C19" s="13">
        <f>'EM Costs'!C27</f>
        <v>408000</v>
      </c>
      <c r="D19" s="13">
        <f>'EM Costs'!D27</f>
        <v>2720</v>
      </c>
      <c r="E19" s="13">
        <f>$D$19</f>
        <v>2720</v>
      </c>
      <c r="F19" s="13">
        <f t="shared" ref="F19:I19" si="8">$D$19</f>
        <v>2720</v>
      </c>
      <c r="G19" s="13">
        <f t="shared" si="8"/>
        <v>2720</v>
      </c>
      <c r="H19" s="13">
        <f t="shared" si="8"/>
        <v>2720</v>
      </c>
      <c r="I19" s="13">
        <f t="shared" si="8"/>
        <v>2720</v>
      </c>
      <c r="J19" s="13">
        <f>SUM(E19:I19)</f>
        <v>13600</v>
      </c>
      <c r="K19" s="13">
        <f>E19+F19*(1+$C$2)+G19*((1+$C$2)^2)+H19*((1+$C$2)^3)+I19*((1+$C$2)^4)</f>
        <v>15029.716999999999</v>
      </c>
    </row>
    <row r="20" spans="2:11" s="10" customFormat="1" ht="13.2" x14ac:dyDescent="0.25">
      <c r="B20" s="27" t="s">
        <v>79</v>
      </c>
    </row>
    <row r="21" spans="2:11" s="10" customFormat="1" ht="13.2" x14ac:dyDescent="0.25">
      <c r="B21" s="13" t="s">
        <v>182</v>
      </c>
      <c r="C21" s="13">
        <f>'EM Costs'!C29</f>
        <v>19000</v>
      </c>
      <c r="D21" s="13">
        <f>'EM Costs'!D29</f>
        <v>126.66666666666667</v>
      </c>
      <c r="E21" s="13">
        <f>$D$21</f>
        <v>126.66666666666667</v>
      </c>
      <c r="F21" s="13">
        <f t="shared" ref="F21:I21" si="9">$D$21</f>
        <v>126.66666666666667</v>
      </c>
      <c r="G21" s="13">
        <f t="shared" si="9"/>
        <v>126.66666666666667</v>
      </c>
      <c r="H21" s="13">
        <f t="shared" si="9"/>
        <v>126.66666666666667</v>
      </c>
      <c r="I21" s="13">
        <f t="shared" si="9"/>
        <v>126.66666666666667</v>
      </c>
      <c r="J21" s="13">
        <f t="shared" ref="J21:J28" si="10">SUM(E21:I21)</f>
        <v>633.33333333333337</v>
      </c>
      <c r="K21" s="13">
        <f t="shared" ref="K21:K30" si="11">E21+F21*(1+$C$2)+G21*((1+$C$2)^2)+H21*((1+$C$2)^3)+I21*((1+$C$2)^4)</f>
        <v>699.91329166666674</v>
      </c>
    </row>
    <row r="22" spans="2:11" s="10" customFormat="1" ht="13.2" x14ac:dyDescent="0.25">
      <c r="B22" s="13" t="s">
        <v>180</v>
      </c>
      <c r="C22" s="13">
        <f>'EM Costs'!C30</f>
        <v>76000</v>
      </c>
      <c r="D22" s="13">
        <f>'EM Costs'!D30</f>
        <v>506.66666666666669</v>
      </c>
      <c r="E22" s="13">
        <f>$D$22</f>
        <v>506.66666666666669</v>
      </c>
      <c r="F22" s="13">
        <f t="shared" ref="F22:I22" si="12">$D$22</f>
        <v>506.66666666666669</v>
      </c>
      <c r="G22" s="13">
        <f t="shared" si="12"/>
        <v>506.66666666666669</v>
      </c>
      <c r="H22" s="13">
        <f t="shared" si="12"/>
        <v>506.66666666666669</v>
      </c>
      <c r="I22" s="13">
        <f t="shared" si="12"/>
        <v>506.66666666666669</v>
      </c>
      <c r="J22" s="13">
        <f t="shared" si="10"/>
        <v>2533.3333333333335</v>
      </c>
      <c r="K22" s="13">
        <f t="shared" si="11"/>
        <v>2799.6531666666669</v>
      </c>
    </row>
    <row r="23" spans="2:11" s="10" customFormat="1" ht="13.2" x14ac:dyDescent="0.25">
      <c r="B23" s="13" t="s">
        <v>181</v>
      </c>
      <c r="C23" s="13">
        <f>'EM Costs'!C31</f>
        <v>30400</v>
      </c>
      <c r="D23" s="13">
        <f>'EM Costs'!D31</f>
        <v>202.66666666666666</v>
      </c>
      <c r="E23" s="13">
        <f>$D$23</f>
        <v>202.66666666666666</v>
      </c>
      <c r="F23" s="13">
        <f t="shared" ref="F23:I23" si="13">$D$23</f>
        <v>202.66666666666666</v>
      </c>
      <c r="G23" s="13">
        <f t="shared" si="13"/>
        <v>202.66666666666666</v>
      </c>
      <c r="H23" s="13">
        <f t="shared" si="13"/>
        <v>202.66666666666666</v>
      </c>
      <c r="I23" s="13">
        <f t="shared" si="13"/>
        <v>202.66666666666666</v>
      </c>
      <c r="J23" s="13">
        <f t="shared" si="10"/>
        <v>1013.3333333333333</v>
      </c>
      <c r="K23" s="13">
        <f t="shared" si="11"/>
        <v>1119.8612666666668</v>
      </c>
    </row>
    <row r="24" spans="2:11" s="10" customFormat="1" ht="13.2" x14ac:dyDescent="0.25">
      <c r="B24" s="13" t="s">
        <v>80</v>
      </c>
      <c r="C24" s="13">
        <f>'EM Costs'!C32</f>
        <v>157500</v>
      </c>
      <c r="D24" s="13">
        <f>'EM Costs'!D32</f>
        <v>1050</v>
      </c>
      <c r="E24" s="13">
        <f>$D$24</f>
        <v>1050</v>
      </c>
      <c r="F24" s="13">
        <f>$D$24</f>
        <v>1050</v>
      </c>
      <c r="G24" s="13">
        <f>$D$24</f>
        <v>1050</v>
      </c>
      <c r="H24" s="13">
        <f>$D$24</f>
        <v>1050</v>
      </c>
      <c r="I24" s="13">
        <f>$D$24</f>
        <v>1050</v>
      </c>
      <c r="J24" s="13">
        <f t="shared" si="10"/>
        <v>5250</v>
      </c>
      <c r="K24" s="13">
        <f t="shared" si="11"/>
        <v>5801.9128125000007</v>
      </c>
    </row>
    <row r="25" spans="2:11" s="10" customFormat="1" ht="13.2" x14ac:dyDescent="0.25">
      <c r="B25" s="13" t="s">
        <v>81</v>
      </c>
      <c r="C25" s="13">
        <f>'EM Costs'!C33</f>
        <v>378000</v>
      </c>
      <c r="D25" s="13">
        <f>'EM Costs'!D33</f>
        <v>2520</v>
      </c>
      <c r="E25" s="13">
        <f>$D$25</f>
        <v>2520</v>
      </c>
      <c r="F25" s="13">
        <f>$D$25</f>
        <v>2520</v>
      </c>
      <c r="G25" s="13">
        <f>$D$25</f>
        <v>2520</v>
      </c>
      <c r="H25" s="13">
        <f>$D$25</f>
        <v>2520</v>
      </c>
      <c r="I25" s="13">
        <f>$D$25</f>
        <v>2520</v>
      </c>
      <c r="J25" s="13">
        <f t="shared" si="10"/>
        <v>12600</v>
      </c>
      <c r="K25" s="13">
        <f t="shared" si="11"/>
        <v>13924.590749999999</v>
      </c>
    </row>
    <row r="26" spans="2:11" s="10" customFormat="1" ht="13.2" x14ac:dyDescent="0.25">
      <c r="B26" s="13" t="s">
        <v>82</v>
      </c>
      <c r="C26" s="13">
        <f>'EM Costs'!C34</f>
        <v>378000</v>
      </c>
      <c r="D26" s="13">
        <f>'EM Costs'!D34</f>
        <v>2520</v>
      </c>
      <c r="E26" s="13">
        <f>$D$26</f>
        <v>2520</v>
      </c>
      <c r="F26" s="13">
        <f>$D$26</f>
        <v>2520</v>
      </c>
      <c r="G26" s="13">
        <f>$D$26</f>
        <v>2520</v>
      </c>
      <c r="H26" s="13">
        <f>$D$26</f>
        <v>2520</v>
      </c>
      <c r="I26" s="13">
        <f>$D$26</f>
        <v>2520</v>
      </c>
      <c r="J26" s="13">
        <f t="shared" si="10"/>
        <v>12600</v>
      </c>
      <c r="K26" s="13">
        <f t="shared" si="11"/>
        <v>13924.590749999999</v>
      </c>
    </row>
    <row r="27" spans="2:11" s="10" customFormat="1" ht="13.2" x14ac:dyDescent="0.25">
      <c r="B27" s="13" t="s">
        <v>83</v>
      </c>
      <c r="C27" s="13">
        <f>'EM Costs'!C35</f>
        <v>0</v>
      </c>
      <c r="D27" s="13">
        <f>'EM Costs'!D35</f>
        <v>0</v>
      </c>
      <c r="E27" s="13">
        <f>$D$27</f>
        <v>0</v>
      </c>
      <c r="F27" s="13">
        <f>$D$27</f>
        <v>0</v>
      </c>
      <c r="G27" s="13">
        <f>$D$27</f>
        <v>0</v>
      </c>
      <c r="H27" s="13">
        <f>$D$27</f>
        <v>0</v>
      </c>
      <c r="I27" s="13">
        <f>$D$27</f>
        <v>0</v>
      </c>
      <c r="J27" s="13">
        <f>SUM(E27:I27)</f>
        <v>0</v>
      </c>
      <c r="K27" s="13">
        <f t="shared" si="11"/>
        <v>0</v>
      </c>
    </row>
    <row r="28" spans="2:11" s="10" customFormat="1" ht="13.2" x14ac:dyDescent="0.25">
      <c r="B28" s="13" t="s">
        <v>84</v>
      </c>
      <c r="C28" s="13">
        <f>'EM Costs'!C36</f>
        <v>0</v>
      </c>
      <c r="D28" s="13">
        <f>'EM Costs'!D36</f>
        <v>0</v>
      </c>
      <c r="E28" s="13">
        <f>$D$28</f>
        <v>0</v>
      </c>
      <c r="F28" s="13">
        <f>$D$28</f>
        <v>0</v>
      </c>
      <c r="G28" s="13">
        <f>$D$28</f>
        <v>0</v>
      </c>
      <c r="H28" s="13">
        <f>$D$28</f>
        <v>0</v>
      </c>
      <c r="I28" s="13">
        <f>$D$28</f>
        <v>0</v>
      </c>
      <c r="J28" s="13">
        <f t="shared" si="10"/>
        <v>0</v>
      </c>
      <c r="K28" s="13">
        <f t="shared" si="11"/>
        <v>0</v>
      </c>
    </row>
    <row r="29" spans="2:11" s="10" customFormat="1" ht="13.2" x14ac:dyDescent="0.25">
      <c r="B29" s="27" t="s">
        <v>85</v>
      </c>
      <c r="K29" s="10">
        <f t="shared" si="11"/>
        <v>0</v>
      </c>
    </row>
    <row r="30" spans="2:11" s="10" customFormat="1" ht="13.2" x14ac:dyDescent="0.25">
      <c r="B30" s="13" t="s">
        <v>192</v>
      </c>
      <c r="C30" s="13">
        <f>'EM Costs'!C38</f>
        <v>283500</v>
      </c>
      <c r="D30" s="13">
        <f>'EM Costs'!D38</f>
        <v>1890</v>
      </c>
      <c r="E30" s="13">
        <f>'EM Costs'!D38</f>
        <v>1890</v>
      </c>
      <c r="F30" s="13">
        <f>'EM Costs'!D38</f>
        <v>1890</v>
      </c>
      <c r="G30" s="13">
        <f>'EM Costs'!D38</f>
        <v>1890</v>
      </c>
      <c r="H30" s="13">
        <f>'EM Costs'!D38</f>
        <v>1890</v>
      </c>
      <c r="I30" s="13">
        <f>'EM Costs'!D38</f>
        <v>1890</v>
      </c>
      <c r="J30" s="13">
        <f>SUM(E30:I30)</f>
        <v>9450</v>
      </c>
      <c r="K30" s="13">
        <f t="shared" si="11"/>
        <v>10443.4430625</v>
      </c>
    </row>
    <row r="31" spans="2:11" s="10" customFormat="1" ht="13.2" x14ac:dyDescent="0.25">
      <c r="I31" s="34" t="s">
        <v>178</v>
      </c>
      <c r="J31" s="33">
        <f>SUM(J5:J30)</f>
        <v>79388</v>
      </c>
      <c r="K31" s="33">
        <f>SUM(K5:K30)</f>
        <v>86689.543693749991</v>
      </c>
    </row>
    <row r="32" spans="2:11" s="10" customFormat="1" ht="13.2" x14ac:dyDescent="0.25"/>
    <row r="33" spans="2:11" s="10" customFormat="1" ht="13.2" x14ac:dyDescent="0.25"/>
    <row r="34" spans="2:11" s="10" customFormat="1" ht="13.2" x14ac:dyDescent="0.25">
      <c r="B34" s="35" t="s">
        <v>194</v>
      </c>
      <c r="C34" s="35" t="str">
        <f>'ASO Costs'!C9</f>
        <v>Total Annual Cost</v>
      </c>
      <c r="D34" s="35" t="str">
        <f>'ASO Costs'!D9</f>
        <v>Cost per Vessel</v>
      </c>
      <c r="E34" s="35" t="s">
        <v>104</v>
      </c>
      <c r="F34" s="35" t="s">
        <v>105</v>
      </c>
      <c r="G34" s="35" t="s">
        <v>106</v>
      </c>
      <c r="H34" s="35" t="s">
        <v>107</v>
      </c>
      <c r="I34" s="35" t="s">
        <v>108</v>
      </c>
      <c r="J34" s="35" t="s">
        <v>219</v>
      </c>
      <c r="K34" s="35" t="s">
        <v>109</v>
      </c>
    </row>
    <row r="35" spans="2:11" s="10" customFormat="1" ht="13.2" x14ac:dyDescent="0.25">
      <c r="B35" s="27" t="s">
        <v>69</v>
      </c>
    </row>
    <row r="36" spans="2:11" s="10" customFormat="1" ht="13.2" x14ac:dyDescent="0.25">
      <c r="B36" s="13" t="s">
        <v>130</v>
      </c>
      <c r="C36" s="13">
        <f>'ASO Costs'!C11</f>
        <v>127499.40000000001</v>
      </c>
      <c r="D36" s="13">
        <f>'ASO Costs'!D11</f>
        <v>849.99600000000009</v>
      </c>
      <c r="E36" s="13">
        <f>$D$36</f>
        <v>849.99600000000009</v>
      </c>
      <c r="F36" s="13">
        <f t="shared" ref="F36:I36" si="14">$D$36</f>
        <v>849.99600000000009</v>
      </c>
      <c r="G36" s="13">
        <f t="shared" si="14"/>
        <v>849.99600000000009</v>
      </c>
      <c r="H36" s="13">
        <f t="shared" si="14"/>
        <v>849.99600000000009</v>
      </c>
      <c r="I36" s="13">
        <f t="shared" si="14"/>
        <v>849.99600000000009</v>
      </c>
      <c r="J36" s="13">
        <f>SUM(E36:I36)</f>
        <v>4249.9800000000005</v>
      </c>
      <c r="K36" s="13">
        <f t="shared" ref="K36" si="15">E36+F36*(1+$C$2)+G36*((1+$C$2)^2)+H36*((1+$C$2)^3)+I36*((1+$C$2)^4)</f>
        <v>4696.7644599750001</v>
      </c>
    </row>
    <row r="37" spans="2:11" s="10" customFormat="1" ht="13.2" x14ac:dyDescent="0.25">
      <c r="B37" s="27" t="s">
        <v>88</v>
      </c>
    </row>
    <row r="38" spans="2:11" s="10" customFormat="1" ht="13.2" x14ac:dyDescent="0.25">
      <c r="B38" s="13" t="s">
        <v>89</v>
      </c>
      <c r="C38" s="13">
        <f>'ASO Costs'!C13</f>
        <v>4500000</v>
      </c>
      <c r="D38" s="13">
        <f>'ASO Costs'!D13</f>
        <v>30000</v>
      </c>
      <c r="E38" s="13">
        <f>$D$38</f>
        <v>30000</v>
      </c>
      <c r="F38" s="13">
        <f t="shared" ref="F38:I38" si="16">$D$38</f>
        <v>30000</v>
      </c>
      <c r="G38" s="13">
        <f t="shared" si="16"/>
        <v>30000</v>
      </c>
      <c r="H38" s="13">
        <f t="shared" si="16"/>
        <v>30000</v>
      </c>
      <c r="I38" s="13">
        <f t="shared" si="16"/>
        <v>30000</v>
      </c>
      <c r="J38" s="13">
        <f t="shared" ref="J38:J39" si="17">SUM(E38:I38)</f>
        <v>150000</v>
      </c>
      <c r="K38" s="13">
        <f t="shared" ref="K38:K39" si="18">E38+F38*(1+$C$2)+G38*((1+$C$2)^2)+H38*((1+$C$2)^3)+I38*((1+$C$2)^4)</f>
        <v>165768.9375</v>
      </c>
    </row>
    <row r="39" spans="2:11" s="10" customFormat="1" ht="13.2" x14ac:dyDescent="0.25">
      <c r="B39" s="13" t="s">
        <v>90</v>
      </c>
      <c r="C39" s="13">
        <f>'ASO Costs'!C14</f>
        <v>67500</v>
      </c>
      <c r="D39" s="13">
        <f>'ASO Costs'!D14</f>
        <v>450</v>
      </c>
      <c r="E39" s="13">
        <f>$D$39</f>
        <v>450</v>
      </c>
      <c r="F39" s="13">
        <f t="shared" ref="F39:I39" si="19">$D$39</f>
        <v>450</v>
      </c>
      <c r="G39" s="13">
        <f t="shared" si="19"/>
        <v>450</v>
      </c>
      <c r="H39" s="13">
        <f t="shared" si="19"/>
        <v>450</v>
      </c>
      <c r="I39" s="13">
        <f t="shared" si="19"/>
        <v>450</v>
      </c>
      <c r="J39" s="13">
        <f t="shared" si="17"/>
        <v>2250</v>
      </c>
      <c r="K39" s="13">
        <f t="shared" si="18"/>
        <v>2486.5340624999999</v>
      </c>
    </row>
    <row r="40" spans="2:11" s="10" customFormat="1" ht="13.2" x14ac:dyDescent="0.25">
      <c r="B40" s="27" t="s">
        <v>91</v>
      </c>
    </row>
    <row r="41" spans="2:11" s="10" customFormat="1" ht="13.2" x14ac:dyDescent="0.25">
      <c r="B41" s="13" t="s">
        <v>92</v>
      </c>
      <c r="C41" s="13">
        <f>'ASO Costs'!C16</f>
        <v>95580</v>
      </c>
      <c r="D41" s="13">
        <f>'ASO Costs'!D16</f>
        <v>637.20000000000005</v>
      </c>
      <c r="E41" s="13">
        <f>$D$41</f>
        <v>637.20000000000005</v>
      </c>
      <c r="F41" s="13">
        <f t="shared" ref="F41:I41" si="20">$D$41</f>
        <v>637.20000000000005</v>
      </c>
      <c r="G41" s="13">
        <f t="shared" si="20"/>
        <v>637.20000000000005</v>
      </c>
      <c r="H41" s="13">
        <f t="shared" si="20"/>
        <v>637.20000000000005</v>
      </c>
      <c r="I41" s="13">
        <f t="shared" si="20"/>
        <v>637.20000000000005</v>
      </c>
      <c r="J41" s="13">
        <f>SUM(E41:I41)</f>
        <v>3186</v>
      </c>
      <c r="K41" s="13">
        <f t="shared" ref="K41" si="21">E41+F41*(1+$C$2)+G41*((1+$C$2)^2)+H41*((1+$C$2)^3)+I41*((1+$C$2)^4)</f>
        <v>3520.9322325000003</v>
      </c>
    </row>
    <row r="42" spans="2:11" s="10" customFormat="1" ht="13.2" x14ac:dyDescent="0.25">
      <c r="B42" s="27" t="s">
        <v>93</v>
      </c>
    </row>
    <row r="43" spans="2:11" s="10" customFormat="1" ht="13.2" x14ac:dyDescent="0.25">
      <c r="B43" s="13" t="s">
        <v>94</v>
      </c>
      <c r="C43" s="13">
        <f>'ASO Costs'!C18</f>
        <v>90000</v>
      </c>
      <c r="D43" s="13">
        <f>'ASO Costs'!D18</f>
        <v>600</v>
      </c>
      <c r="E43" s="13">
        <f>$D$43</f>
        <v>600</v>
      </c>
      <c r="F43" s="13">
        <f t="shared" ref="F43:I43" si="22">$D$43</f>
        <v>600</v>
      </c>
      <c r="G43" s="13">
        <f t="shared" si="22"/>
        <v>600</v>
      </c>
      <c r="H43" s="13">
        <f t="shared" si="22"/>
        <v>600</v>
      </c>
      <c r="I43" s="13">
        <f t="shared" si="22"/>
        <v>600</v>
      </c>
      <c r="J43" s="13">
        <f>SUM(E43:I43)</f>
        <v>3000</v>
      </c>
      <c r="K43" s="13">
        <f t="shared" ref="K43" si="23">E43+F43*(1+$C$2)+G43*((1+$C$2)^2)+H43*((1+$C$2)^3)+I43*((1+$C$2)^4)</f>
        <v>3315.3787499999999</v>
      </c>
    </row>
    <row r="44" spans="2:11" s="10" customFormat="1" ht="13.2" x14ac:dyDescent="0.25">
      <c r="B44" s="27" t="s">
        <v>95</v>
      </c>
    </row>
    <row r="45" spans="2:11" s="10" customFormat="1" ht="13.2" x14ac:dyDescent="0.25">
      <c r="B45" s="13" t="s">
        <v>96</v>
      </c>
      <c r="C45" s="13">
        <f>'ASO Costs'!C20</f>
        <v>382499.55</v>
      </c>
      <c r="D45" s="13">
        <f>'ASO Costs'!D20</f>
        <v>2549.9969999999998</v>
      </c>
      <c r="E45" s="13">
        <f>$D$45</f>
        <v>2549.9969999999998</v>
      </c>
      <c r="F45" s="13">
        <f t="shared" ref="F45:I45" si="24">$D$45</f>
        <v>2549.9969999999998</v>
      </c>
      <c r="G45" s="13">
        <f t="shared" si="24"/>
        <v>2549.9969999999998</v>
      </c>
      <c r="H45" s="13">
        <f t="shared" si="24"/>
        <v>2549.9969999999998</v>
      </c>
      <c r="I45" s="13">
        <f t="shared" si="24"/>
        <v>2549.9969999999998</v>
      </c>
      <c r="J45" s="13">
        <f>SUM(E45:I45)</f>
        <v>12749.984999999999</v>
      </c>
      <c r="K45" s="13">
        <f t="shared" ref="K45" si="25">E45+F45*(1+$C$2)+G45*((1+$C$2)^2)+H45*((1+$C$2)^3)+I45*((1+$C$2)^4)</f>
        <v>14090.343110606251</v>
      </c>
    </row>
    <row r="46" spans="2:11" s="10" customFormat="1" ht="13.2" x14ac:dyDescent="0.25">
      <c r="B46" s="27" t="s">
        <v>97</v>
      </c>
    </row>
    <row r="47" spans="2:11" s="10" customFormat="1" ht="13.2" x14ac:dyDescent="0.25">
      <c r="B47" s="13" t="s">
        <v>127</v>
      </c>
      <c r="C47" s="13">
        <f>'ASO Costs'!C22</f>
        <v>18000</v>
      </c>
      <c r="D47" s="13">
        <f>'ASO Costs'!D22</f>
        <v>120</v>
      </c>
      <c r="E47" s="13">
        <f>$D$47</f>
        <v>120</v>
      </c>
      <c r="F47" s="13">
        <f t="shared" ref="F47:I47" si="26">$D$47</f>
        <v>120</v>
      </c>
      <c r="G47" s="13">
        <f t="shared" si="26"/>
        <v>120</v>
      </c>
      <c r="H47" s="13">
        <f t="shared" si="26"/>
        <v>120</v>
      </c>
      <c r="I47" s="13">
        <f t="shared" si="26"/>
        <v>120</v>
      </c>
      <c r="J47" s="13">
        <f>SUM(E47:I47)</f>
        <v>600</v>
      </c>
      <c r="K47" s="13">
        <f t="shared" ref="K47" si="27">E47+F47*(1+$C$2)+G47*((1+$C$2)^2)+H47*((1+$C$2)^3)+I47*((1+$C$2)^4)</f>
        <v>663.07574999999997</v>
      </c>
    </row>
    <row r="48" spans="2:11" s="10" customFormat="1" ht="13.2" x14ac:dyDescent="0.25">
      <c r="B48" s="27" t="s">
        <v>98</v>
      </c>
    </row>
    <row r="49" spans="2:11" s="10" customFormat="1" ht="13.2" x14ac:dyDescent="0.25">
      <c r="B49" s="13" t="s">
        <v>99</v>
      </c>
      <c r="C49" s="13">
        <f>'ASO Costs'!C24</f>
        <v>60030</v>
      </c>
      <c r="D49" s="13">
        <f>'ASO Costs'!D24</f>
        <v>400.2</v>
      </c>
      <c r="E49" s="13">
        <f>$D$49</f>
        <v>400.2</v>
      </c>
      <c r="F49" s="13">
        <f t="shared" ref="F49:I49" si="28">$D$49</f>
        <v>400.2</v>
      </c>
      <c r="G49" s="13">
        <f t="shared" si="28"/>
        <v>400.2</v>
      </c>
      <c r="H49" s="13">
        <f t="shared" si="28"/>
        <v>400.2</v>
      </c>
      <c r="I49" s="13">
        <f t="shared" si="28"/>
        <v>400.2</v>
      </c>
      <c r="J49" s="13">
        <f>SUM(E49:I49)</f>
        <v>2001</v>
      </c>
      <c r="K49" s="13">
        <f t="shared" ref="K49" si="29">E49+F49*(1+$C$2)+G49*((1+$C$2)^2)+H49*((1+$C$2)^3)+I49*((1+$C$2)^4)</f>
        <v>2211.3576262500001</v>
      </c>
    </row>
    <row r="50" spans="2:11" s="10" customFormat="1" ht="13.2" x14ac:dyDescent="0.25">
      <c r="I50" s="34" t="s">
        <v>178</v>
      </c>
      <c r="J50" s="33">
        <f>SUM(J36:J49)</f>
        <v>178036.965</v>
      </c>
      <c r="K50" s="33">
        <f>SUM(K36:K49)</f>
        <v>196753.32349183125</v>
      </c>
    </row>
    <row r="51" spans="2:11" s="10" customFormat="1" ht="13.2" x14ac:dyDescent="0.25"/>
    <row r="52" spans="2:11" s="10" customFormat="1" ht="13.2" x14ac:dyDescent="0.25"/>
    <row r="53" spans="2:11" s="10" customFormat="1" ht="13.2" x14ac:dyDescent="0.25"/>
    <row r="54" spans="2:11" s="10" customFormat="1" ht="13.2" x14ac:dyDescent="0.25"/>
    <row r="55" spans="2:11" s="10" customFormat="1" ht="13.2" x14ac:dyDescent="0.25"/>
    <row r="56" spans="2:11" s="10" customFormat="1" ht="13.2" x14ac:dyDescent="0.25"/>
    <row r="57" spans="2:11" s="10" customFormat="1" ht="13.2" x14ac:dyDescent="0.25"/>
    <row r="58" spans="2:11" s="10" customFormat="1" ht="13.2" x14ac:dyDescent="0.25"/>
    <row r="59" spans="2:11" s="10" customFormat="1" ht="13.2" x14ac:dyDescent="0.25"/>
    <row r="60" spans="2:11" s="10" customFormat="1" ht="13.2" x14ac:dyDescent="0.25"/>
    <row r="61" spans="2:11" s="10" customFormat="1" ht="13.2" x14ac:dyDescent="0.25"/>
    <row r="62" spans="2:11" s="10" customFormat="1" ht="13.2" x14ac:dyDescent="0.25"/>
    <row r="63" spans="2:11" s="10" customFormat="1" 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Instructions</vt:lpstr>
      <vt:lpstr>Cost Drivers</vt:lpstr>
      <vt:lpstr>Who Pays</vt:lpstr>
      <vt:lpstr>EM Costs</vt:lpstr>
      <vt:lpstr>ASO Costs</vt:lpstr>
      <vt:lpstr>Industry Costs</vt:lpstr>
      <vt:lpstr>Government Costs</vt:lpstr>
      <vt:lpstr>Total Costs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Chrisinju</dc:creator>
  <cp:lastModifiedBy>Christopher Cusack</cp:lastModifiedBy>
  <cp:lastPrinted>2017-07-23T00:13:39Z</cp:lastPrinted>
  <dcterms:created xsi:type="dcterms:W3CDTF">2017-07-21T21:59:09Z</dcterms:created>
  <dcterms:modified xsi:type="dcterms:W3CDTF">2019-01-18T17:27:43Z</dcterms:modified>
  <cp:contentStatus/>
</cp:coreProperties>
</file>